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Default Extension="png" ContentType="image/png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vml" ContentType="application/vnd.openxmlformats-officedocument.vmlDrawing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760" tabRatio="747"/>
  </bookViews>
  <sheets>
    <sheet name="Overview" sheetId="6" r:id="rId1"/>
    <sheet name="Revenues Marktprämienmdell" sheetId="1" r:id="rId2"/>
    <sheet name="Marktprämie" sheetId="3" r:id="rId3"/>
    <sheet name="ManagementPrämie" sheetId="4" r:id="rId4"/>
    <sheet name="Flexibilitätsprämie" sheetId="5" r:id="rId5"/>
    <sheet name="Spot Market Sales" sheetId="8" r:id="rId6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3" i="5"/>
  <c r="E23"/>
  <c r="E17"/>
  <c r="E19"/>
  <c r="E21"/>
  <c r="E24"/>
  <c r="D17"/>
  <c r="D19"/>
  <c r="D21"/>
  <c r="D24"/>
  <c r="B4" i="4"/>
  <c r="C4"/>
  <c r="D4"/>
  <c r="E4"/>
  <c r="F4"/>
  <c r="B6"/>
  <c r="F6"/>
  <c r="E6"/>
  <c r="D6"/>
  <c r="C6"/>
  <c r="C13" i="3"/>
  <c r="E13"/>
  <c r="H13"/>
  <c r="C14"/>
  <c r="E14"/>
  <c r="H14"/>
  <c r="C16"/>
  <c r="E16"/>
  <c r="H16"/>
  <c r="C19"/>
  <c r="E19"/>
  <c r="H19"/>
  <c r="C20"/>
  <c r="E20"/>
  <c r="H20"/>
  <c r="C21"/>
  <c r="E21"/>
  <c r="H21"/>
  <c r="C22"/>
  <c r="E22"/>
  <c r="H22"/>
  <c r="C11"/>
  <c r="E11"/>
  <c r="H11"/>
  <c r="C12"/>
  <c r="E12"/>
  <c r="H12"/>
  <c r="C15"/>
  <c r="E15"/>
  <c r="H15"/>
  <c r="C17"/>
  <c r="E17"/>
  <c r="H17"/>
  <c r="C18"/>
  <c r="E18"/>
  <c r="H18"/>
  <c r="H24"/>
  <c r="C28"/>
  <c r="D13"/>
  <c r="G13"/>
  <c r="D14"/>
  <c r="G14"/>
  <c r="D16"/>
  <c r="G16"/>
  <c r="D19"/>
  <c r="G19"/>
  <c r="D20"/>
  <c r="G20"/>
  <c r="D21"/>
  <c r="G21"/>
  <c r="D22"/>
  <c r="G22"/>
  <c r="D11"/>
  <c r="G11"/>
  <c r="D12"/>
  <c r="G12"/>
  <c r="D15"/>
  <c r="G15"/>
  <c r="D17"/>
  <c r="G17"/>
  <c r="D18"/>
  <c r="G18"/>
  <c r="G24"/>
  <c r="B28"/>
  <c r="K13"/>
  <c r="K16"/>
  <c r="K17"/>
  <c r="K11"/>
  <c r="K12"/>
  <c r="K14"/>
  <c r="K15"/>
  <c r="K18"/>
  <c r="K19"/>
  <c r="K20"/>
  <c r="K21"/>
  <c r="K22"/>
  <c r="K24"/>
  <c r="C27"/>
  <c r="J13"/>
  <c r="J16"/>
  <c r="J17"/>
  <c r="J11"/>
  <c r="J12"/>
  <c r="J14"/>
  <c r="J15"/>
  <c r="J18"/>
  <c r="J19"/>
  <c r="J20"/>
  <c r="J21"/>
  <c r="J22"/>
  <c r="J24"/>
  <c r="B27"/>
  <c r="I24"/>
  <c r="F24"/>
  <c r="C2" i="1"/>
  <c r="D2"/>
  <c r="E2"/>
  <c r="F2"/>
  <c r="F12"/>
  <c r="E12"/>
  <c r="D12"/>
  <c r="C12"/>
  <c r="C16"/>
  <c r="C17"/>
  <c r="C4"/>
  <c r="C5"/>
  <c r="C27"/>
  <c r="D17"/>
  <c r="F17"/>
  <c r="E17"/>
  <c r="D16"/>
  <c r="E16"/>
  <c r="D27"/>
  <c r="F27"/>
  <c r="E27"/>
  <c r="F5"/>
  <c r="E5"/>
  <c r="D5"/>
  <c r="F16"/>
  <c r="E4"/>
  <c r="F4"/>
  <c r="D4"/>
  <c r="C3"/>
  <c r="C6"/>
  <c r="C11"/>
  <c r="C13"/>
  <c r="D3"/>
  <c r="D6"/>
  <c r="D11"/>
  <c r="D13"/>
  <c r="E3"/>
  <c r="E6"/>
  <c r="E11"/>
  <c r="E13"/>
  <c r="F3"/>
  <c r="F6"/>
  <c r="F11"/>
  <c r="F13"/>
  <c r="C23"/>
  <c r="C21"/>
  <c r="C24"/>
  <c r="C26"/>
  <c r="C28"/>
  <c r="C30"/>
  <c r="E23"/>
  <c r="E21"/>
  <c r="E24"/>
  <c r="E26"/>
  <c r="E28"/>
  <c r="E30"/>
  <c r="F23"/>
  <c r="F21"/>
  <c r="F24"/>
  <c r="F26"/>
  <c r="F28"/>
  <c r="D23"/>
  <c r="D21"/>
  <c r="D24"/>
  <c r="D26"/>
  <c r="D28"/>
  <c r="C2" i="8"/>
  <c r="C3"/>
  <c r="D3"/>
  <c r="E3"/>
  <c r="D2"/>
  <c r="E2"/>
</calcChain>
</file>

<file path=xl/comments1.xml><?xml version="1.0" encoding="utf-8"?>
<comments xmlns="http://schemas.openxmlformats.org/spreadsheetml/2006/main">
  <authors>
    <author>jakob graf</author>
  </authors>
  <commentList>
    <comment ref="A16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750€/add. kW
source: EMD Model 'Flexibilitätsprämie_2x550_kW'</t>
        </r>
      </text>
    </comment>
    <comment ref="A17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40€/m</t>
        </r>
        <r>
          <rPr>
            <vertAlign val="superscript"/>
            <sz val="9"/>
            <color indexed="81"/>
            <rFont val="Verdana"/>
          </rPr>
          <t xml:space="preserve">3
</t>
        </r>
        <r>
          <rPr>
            <sz val="9"/>
            <color indexed="81"/>
            <rFont val="Verdana"/>
          </rPr>
          <t>Source: 
Thüringer Landesanstalt für Landwirtschaft, 2011</t>
        </r>
      </text>
    </comment>
    <comment ref="A18" authorId="0">
      <text>
        <r>
          <rPr>
            <b/>
            <sz val="9"/>
            <color indexed="81"/>
            <rFont val="Verdana"/>
          </rPr>
          <t xml:space="preserve">jakob graf:
</t>
        </r>
        <r>
          <rPr>
            <sz val="9"/>
            <color indexed="81"/>
            <rFont val="Verdana"/>
          </rPr>
          <t>3% of total turbine investment costs*  
- at 550.000€ (750kW)  
- at 700.000€ (1000kW)**
source:
*source: EMD Model 'Flexibilitätsprämie_2x550_kW' 
** ASUE,2011 / IWES,2011</t>
        </r>
      </text>
    </comment>
    <comment ref="A19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source: EMD Model 'Flexibilitätsprämie_2x550_kW'</t>
        </r>
      </text>
    </comment>
    <comment ref="A20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flat charge administrative cost: 1000€
labour costs: 1h/day*30€
Source: EMD Model 'Flexibilitätsprämie_2x550_kW</t>
        </r>
      </text>
    </comment>
    <comment ref="A21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2,5€/ MWh
Source:EMD Model 'Flexibilitätsprämie_2x550_kW'</t>
        </r>
      </text>
    </comment>
    <comment ref="A22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0,5% of total investment*  
at 4000€/kW**
source:
*EMD model 
**IWR/Fachverband Biogas</t>
        </r>
      </text>
    </comment>
    <comment ref="A23" authorId="0">
      <text>
        <r>
          <rPr>
            <b/>
            <sz val="9"/>
            <color indexed="81"/>
            <rFont val="Verdana"/>
          </rPr>
          <t>jakob graf:</t>
        </r>
        <r>
          <rPr>
            <sz val="9"/>
            <color indexed="81"/>
            <rFont val="Verdana"/>
          </rPr>
          <t xml:space="preserve">
4€/MWh
Source: EMD Model 'Flexibilitätsprämie_2x550_kW'</t>
        </r>
      </text>
    </comment>
  </commentList>
</comments>
</file>

<file path=xl/sharedStrings.xml><?xml version="1.0" encoding="utf-8"?>
<sst xmlns="http://schemas.openxmlformats.org/spreadsheetml/2006/main" count="133" uniqueCount="129">
  <si>
    <t>750 kW 2)</t>
    <phoneticPr fontId="8" type="noConversion"/>
  </si>
  <si>
    <t>1000 kW 1)</t>
    <phoneticPr fontId="8" type="noConversion"/>
  </si>
  <si>
    <r>
      <t>Bemessungsleistung Gesamtanlage [kW</t>
    </r>
    <r>
      <rPr>
        <vertAlign val="subscript"/>
        <sz val="10"/>
        <rFont val="Arial"/>
        <family val="2"/>
      </rPr>
      <t>el</t>
    </r>
    <r>
      <rPr>
        <sz val="10"/>
        <rFont val="Verdana"/>
      </rPr>
      <t>]</t>
    </r>
  </si>
  <si>
    <r>
      <t>Installierte Leistung der Gesamtanlage [kW</t>
    </r>
    <r>
      <rPr>
        <vertAlign val="subscript"/>
        <sz val="10"/>
        <rFont val="Arial"/>
        <family val="2"/>
      </rPr>
      <t>el</t>
    </r>
    <r>
      <rPr>
        <sz val="10"/>
        <rFont val="Verdana"/>
      </rPr>
      <t>]</t>
    </r>
  </si>
  <si>
    <r>
      <t>Kapazitätskomponente [€/kW</t>
    </r>
    <r>
      <rPr>
        <vertAlign val="subscript"/>
        <sz val="10"/>
        <rFont val="Arial"/>
        <family val="2"/>
      </rPr>
      <t>el</t>
    </r>
    <r>
      <rPr>
        <sz val="10"/>
        <rFont val="Verdana"/>
      </rPr>
      <t>]</t>
    </r>
  </si>
  <si>
    <t>marketing costs</t>
    <phoneticPr fontId="8" type="noConversion"/>
  </si>
  <si>
    <t>extention generator</t>
    <phoneticPr fontId="8" type="noConversion"/>
  </si>
  <si>
    <t>control unit</t>
    <phoneticPr fontId="8" type="noConversion"/>
  </si>
  <si>
    <t>750 kW 1)</t>
    <phoneticPr fontId="8" type="noConversion"/>
  </si>
  <si>
    <t>total revenues Marktprämienmodell</t>
    <phoneticPr fontId="8" type="noConversion"/>
  </si>
  <si>
    <t>el Produced (MWh)</t>
    <phoneticPr fontId="8" type="noConversion"/>
  </si>
  <si>
    <t>gas storage</t>
    <phoneticPr fontId="8" type="noConversion"/>
  </si>
  <si>
    <t>boost grid connection</t>
    <phoneticPr fontId="8" type="noConversion"/>
  </si>
  <si>
    <t>increased insurance costs</t>
    <phoneticPr fontId="8" type="noConversion"/>
  </si>
  <si>
    <t>el. produced  (MWh)</t>
    <phoneticPr fontId="8" type="noConversion"/>
  </si>
  <si>
    <t>Modell 1000 kW</t>
    <phoneticPr fontId="8" type="noConversion"/>
  </si>
  <si>
    <t>Modell 750 kW</t>
    <phoneticPr fontId="8" type="noConversion"/>
  </si>
  <si>
    <t>revenues 2</t>
    <phoneticPr fontId="8" type="noConversion"/>
  </si>
  <si>
    <t>Abbreviation</t>
    <phoneticPr fontId="8" type="noConversion"/>
  </si>
  <si>
    <t>Tranaslation Engl.</t>
    <phoneticPr fontId="8" type="noConversion"/>
  </si>
  <si>
    <t>Unit</t>
    <phoneticPr fontId="8" type="noConversion"/>
  </si>
  <si>
    <t xml:space="preserve"> 750 kW</t>
    <phoneticPr fontId="8" type="noConversion"/>
  </si>
  <si>
    <t>1000kW</t>
    <phoneticPr fontId="8" type="noConversion"/>
  </si>
  <si>
    <r>
      <t>P</t>
    </r>
    <r>
      <rPr>
        <vertAlign val="subscript"/>
        <sz val="10"/>
        <rFont val="Verdana"/>
      </rPr>
      <t>inst</t>
    </r>
    <phoneticPr fontId="8" type="noConversion"/>
  </si>
  <si>
    <r>
      <t>P</t>
    </r>
    <r>
      <rPr>
        <vertAlign val="subscript"/>
        <sz val="10"/>
        <rFont val="Verdana"/>
      </rPr>
      <t>bem</t>
    </r>
    <phoneticPr fontId="8" type="noConversion"/>
  </si>
  <si>
    <r>
      <t xml:space="preserve">f </t>
    </r>
    <r>
      <rPr>
        <vertAlign val="subscript"/>
        <sz val="10"/>
        <rFont val="Verdana"/>
      </rPr>
      <t>korr</t>
    </r>
    <phoneticPr fontId="8" type="noConversion"/>
  </si>
  <si>
    <r>
      <t xml:space="preserve">P </t>
    </r>
    <r>
      <rPr>
        <vertAlign val="subscript"/>
        <sz val="10"/>
        <rFont val="Verdana"/>
      </rPr>
      <t>Zusatz</t>
    </r>
    <phoneticPr fontId="8" type="noConversion"/>
  </si>
  <si>
    <t>original installed capacity</t>
    <phoneticPr fontId="8" type="noConversion"/>
  </si>
  <si>
    <t>Flexibilitätsprämie pro Jahr</t>
  </si>
  <si>
    <r>
      <t xml:space="preserve">Electricity produced (MWh </t>
    </r>
    <r>
      <rPr>
        <vertAlign val="superscript"/>
        <sz val="12"/>
        <rFont val="Verdana"/>
      </rPr>
      <t>1)</t>
    </r>
    <phoneticPr fontId="8" type="noConversion"/>
  </si>
  <si>
    <t>Total revenues</t>
    <phoneticPr fontId="8" type="noConversion"/>
  </si>
  <si>
    <t>1000 kW</t>
    <phoneticPr fontId="8" type="noConversion"/>
  </si>
  <si>
    <t>750 kW</t>
    <phoneticPr fontId="8" type="noConversion"/>
  </si>
  <si>
    <t>Spot Market Sales</t>
    <phoneticPr fontId="8" type="noConversion"/>
  </si>
  <si>
    <t>Trader</t>
    <phoneticPr fontId="8" type="noConversion"/>
  </si>
  <si>
    <t>Total revenues</t>
    <phoneticPr fontId="8" type="noConversion"/>
  </si>
  <si>
    <r>
      <t xml:space="preserve">750 kW capacity in €/year </t>
    </r>
    <r>
      <rPr>
        <vertAlign val="superscript"/>
        <sz val="10"/>
        <rFont val="Verdana"/>
      </rPr>
      <t>2)</t>
    </r>
    <phoneticPr fontId="8" type="noConversion"/>
  </si>
  <si>
    <r>
      <t xml:space="preserve">1000 kW capacity in €/year </t>
    </r>
    <r>
      <rPr>
        <vertAlign val="superscript"/>
        <sz val="10"/>
        <rFont val="Verdana"/>
      </rPr>
      <t>1)</t>
    </r>
    <phoneticPr fontId="8" type="noConversion"/>
  </si>
  <si>
    <r>
      <t xml:space="preserve">1000 kW capacity in €/year </t>
    </r>
    <r>
      <rPr>
        <vertAlign val="superscript"/>
        <sz val="10"/>
        <rFont val="Verdana"/>
      </rPr>
      <t>2)</t>
    </r>
    <phoneticPr fontId="8" type="noConversion"/>
  </si>
  <si>
    <t>Average Price €/MWh</t>
    <phoneticPr fontId="8" type="noConversion"/>
  </si>
  <si>
    <t>Month</t>
    <phoneticPr fontId="8" type="noConversion"/>
  </si>
  <si>
    <t>rated output</t>
    <phoneticPr fontId="8" type="noConversion"/>
  </si>
  <si>
    <r>
      <t xml:space="preserve">Revenues Marktprämie </t>
    </r>
    <r>
      <rPr>
        <vertAlign val="superscript"/>
        <sz val="10"/>
        <color indexed="62"/>
        <rFont val="Verdana"/>
      </rPr>
      <t>1)</t>
    </r>
    <phoneticPr fontId="8" type="noConversion"/>
  </si>
  <si>
    <r>
      <t xml:space="preserve">Revenues Marktprämie </t>
    </r>
    <r>
      <rPr>
        <vertAlign val="superscript"/>
        <sz val="10"/>
        <color indexed="62"/>
        <rFont val="Verdana"/>
      </rPr>
      <t>2)</t>
    </r>
    <phoneticPr fontId="8" type="noConversion"/>
  </si>
  <si>
    <t>RMP (€/MWh)</t>
    <phoneticPr fontId="8" type="noConversion"/>
  </si>
  <si>
    <r>
      <t xml:space="preserve">750 kW capacity in €/year </t>
    </r>
    <r>
      <rPr>
        <vertAlign val="superscript"/>
        <sz val="10"/>
        <rFont val="Verdana"/>
      </rPr>
      <t>1)</t>
    </r>
    <phoneticPr fontId="8" type="noConversion"/>
  </si>
  <si>
    <t>Paid by</t>
    <phoneticPr fontId="8" type="noConversion"/>
  </si>
  <si>
    <t>Grid operator</t>
    <phoneticPr fontId="8" type="noConversion"/>
  </si>
  <si>
    <t>Trader</t>
    <phoneticPr fontId="8" type="noConversion"/>
  </si>
  <si>
    <t>simple payback time in years:</t>
    <phoneticPr fontId="8" type="noConversion"/>
  </si>
  <si>
    <t>Full-load hours at base load operation</t>
    <phoneticPr fontId="8" type="noConversion"/>
  </si>
  <si>
    <t>Marktprämie</t>
    <phoneticPr fontId="8" type="noConversion"/>
  </si>
  <si>
    <t>Management Prämie</t>
    <phoneticPr fontId="8" type="noConversion"/>
  </si>
  <si>
    <t>Flexibilitätsprmie</t>
    <phoneticPr fontId="8" type="noConversion"/>
  </si>
  <si>
    <t>Bisher realisierte Vollaststunden</t>
    <phoneticPr fontId="8" type="noConversion"/>
  </si>
  <si>
    <t xml:space="preserve">Formular  Marktprämie: </t>
    <phoneticPr fontId="8" type="noConversion"/>
  </si>
  <si>
    <t>year</t>
    <phoneticPr fontId="8" type="noConversion"/>
  </si>
  <si>
    <t>ct/kWh</t>
    <phoneticPr fontId="8" type="noConversion"/>
  </si>
  <si>
    <t>FP</t>
  </si>
  <si>
    <r>
      <t>P</t>
    </r>
    <r>
      <rPr>
        <i/>
        <vertAlign val="subscript"/>
        <sz val="12"/>
        <rFont val="Calisto MT"/>
        <family val="1"/>
      </rPr>
      <t>Zusatz</t>
    </r>
  </si>
  <si>
    <t>Formular to calculate the Flexibiliätsprämie in acordance §33i EEG2012</t>
    <phoneticPr fontId="8" type="noConversion"/>
  </si>
  <si>
    <t>Source: EEG 2012</t>
    <phoneticPr fontId="8" type="noConversion"/>
  </si>
  <si>
    <t>1) source: EnergyPro Model 750/1000kw</t>
    <phoneticPr fontId="8" type="noConversion"/>
  </si>
  <si>
    <t>Source: EnergyPro Model 750/1000kw</t>
    <phoneticPr fontId="8" type="noConversion"/>
  </si>
  <si>
    <t>MP = EEG-RMP</t>
    <phoneticPr fontId="8" type="noConversion"/>
  </si>
  <si>
    <t>Kapazitätskomponente</t>
    <phoneticPr fontId="8" type="noConversion"/>
  </si>
  <si>
    <t>€/kWel</t>
    <phoneticPr fontId="8" type="noConversion"/>
  </si>
  <si>
    <t>Flexibilitätspräme</t>
    <phoneticPr fontId="8" type="noConversion"/>
  </si>
  <si>
    <t>€ct/kWh</t>
    <phoneticPr fontId="8" type="noConversion"/>
  </si>
  <si>
    <t>Bisher installierte Leistung</t>
    <phoneticPr fontId="8" type="noConversion"/>
  </si>
  <si>
    <t>kw</t>
    <phoneticPr fontId="8" type="noConversion"/>
  </si>
  <si>
    <t>1000kW2)</t>
    <phoneticPr fontId="8" type="noConversion"/>
  </si>
  <si>
    <t>Total</t>
    <phoneticPr fontId="8" type="noConversion"/>
  </si>
  <si>
    <t>Capacity</t>
    <phoneticPr fontId="8" type="noConversion"/>
  </si>
  <si>
    <t>Produced Electricity (MWh)</t>
    <phoneticPr fontId="8" type="noConversion"/>
  </si>
  <si>
    <t>Revenues</t>
    <phoneticPr fontId="8" type="noConversion"/>
  </si>
  <si>
    <r>
      <t>f</t>
    </r>
    <r>
      <rPr>
        <i/>
        <vertAlign val="subscript"/>
        <sz val="12"/>
        <rFont val="Calisto MT"/>
        <family val="1"/>
      </rPr>
      <t>Korr</t>
    </r>
    <r>
      <rPr>
        <sz val="10"/>
        <rFont val="Arial"/>
      </rPr>
      <t xml:space="preserve"> beträgt bei der Vor-Ort-Verstromung 1,1 und 1,6 bei Biomethan-BHKWs</t>
    </r>
  </si>
  <si>
    <t>FP</t>
    <phoneticPr fontId="8" type="noConversion"/>
  </si>
  <si>
    <t>Sales Provision trader (1,5€/MWh)</t>
    <phoneticPr fontId="8" type="noConversion"/>
  </si>
  <si>
    <r>
      <t xml:space="preserve">Revenues from electricty sale (€) </t>
    </r>
    <r>
      <rPr>
        <vertAlign val="superscript"/>
        <sz val="12"/>
        <rFont val="Verdana"/>
      </rPr>
      <t>1)</t>
    </r>
    <phoneticPr fontId="8" type="noConversion"/>
  </si>
  <si>
    <t>increased maintenance costs</t>
    <phoneticPr fontId="8" type="noConversion"/>
  </si>
  <si>
    <t>total necessary investments:</t>
    <phoneticPr fontId="8" type="noConversion"/>
  </si>
  <si>
    <t>Revenues Marktprämienmodel minus investmens</t>
    <phoneticPr fontId="8" type="noConversion"/>
  </si>
  <si>
    <t>1) EEG compensation in €/MWh</t>
    <phoneticPr fontId="8" type="noConversion"/>
  </si>
  <si>
    <t>2) EEG compensation in €/ MWh</t>
    <phoneticPr fontId="8" type="noConversion"/>
  </si>
  <si>
    <r>
      <t xml:space="preserve">Marktpräme €/MWh </t>
    </r>
    <r>
      <rPr>
        <sz val="8"/>
        <color indexed="18"/>
        <rFont val="Verdana"/>
      </rPr>
      <t>1)</t>
    </r>
    <phoneticPr fontId="8" type="noConversion"/>
  </si>
  <si>
    <r>
      <t xml:space="preserve">Marktprämie €/MWh </t>
    </r>
    <r>
      <rPr>
        <sz val="8"/>
        <color indexed="18"/>
        <rFont val="Verdana"/>
      </rPr>
      <t>2)</t>
    </r>
    <phoneticPr fontId="8" type="noConversion"/>
  </si>
  <si>
    <t>Revenues 1</t>
    <phoneticPr fontId="8" type="noConversion"/>
  </si>
  <si>
    <t>new inst. Capacity</t>
    <phoneticPr fontId="8" type="noConversion"/>
  </si>
  <si>
    <t>kW el</t>
    <phoneticPr fontId="8" type="noConversion"/>
  </si>
  <si>
    <t>Full load hours of new plant</t>
    <phoneticPr fontId="8" type="noConversion"/>
  </si>
  <si>
    <t>h</t>
    <phoneticPr fontId="8" type="noConversion"/>
  </si>
  <si>
    <t>kW el</t>
    <phoneticPr fontId="8" type="noConversion"/>
  </si>
  <si>
    <t>€</t>
    <phoneticPr fontId="8" type="noConversion"/>
  </si>
  <si>
    <t>750 kW</t>
    <phoneticPr fontId="8" type="noConversion"/>
  </si>
  <si>
    <t xml:space="preserve">1)= 18ct/kWh </t>
    <phoneticPr fontId="8" type="noConversion"/>
  </si>
  <si>
    <t>correction factor</t>
    <phoneticPr fontId="8" type="noConversion"/>
  </si>
  <si>
    <t>additional capacity, according to EEG2012 Anex 5</t>
    <phoneticPr fontId="8" type="noConversion"/>
  </si>
  <si>
    <t>additional revenues Marktprämienmodell in %</t>
    <phoneticPr fontId="8" type="noConversion"/>
  </si>
  <si>
    <t>Revenues Flexibilitätsprämie/year</t>
    <phoneticPr fontId="8" type="noConversion"/>
  </si>
  <si>
    <t>additional investments necessary</t>
    <phoneticPr fontId="8" type="noConversion"/>
  </si>
  <si>
    <t>revenues 1</t>
    <phoneticPr fontId="8" type="noConversion"/>
  </si>
  <si>
    <t>increased administrative &amp; Labour costs</t>
    <phoneticPr fontId="8" type="noConversion"/>
  </si>
  <si>
    <t>Extra annual earnings Marktprämienmodell</t>
    <phoneticPr fontId="8" type="noConversion"/>
  </si>
  <si>
    <t>EEG compensation</t>
    <phoneticPr fontId="8" type="noConversion"/>
  </si>
  <si>
    <r>
      <t>RMP</t>
    </r>
    <r>
      <rPr>
        <sz val="10"/>
        <rFont val="Verdana"/>
      </rPr>
      <t xml:space="preserve">: Refernce Market Price </t>
    </r>
    <r>
      <rPr>
        <sz val="8"/>
        <rFont val="Verdana"/>
      </rPr>
      <t>(Average monthly electricity price (EEX) - Managementpräme)</t>
    </r>
    <phoneticPr fontId="8" type="noConversion"/>
  </si>
  <si>
    <r>
      <t>P</t>
    </r>
    <r>
      <rPr>
        <i/>
        <vertAlign val="subscript"/>
        <sz val="12"/>
        <rFont val="Calisto MT"/>
        <family val="1"/>
      </rPr>
      <t>Bem</t>
    </r>
  </si>
  <si>
    <r>
      <t>P</t>
    </r>
    <r>
      <rPr>
        <i/>
        <vertAlign val="subscript"/>
        <sz val="12"/>
        <rFont val="Calisto MT"/>
        <family val="1"/>
      </rPr>
      <t>Inst</t>
    </r>
  </si>
  <si>
    <t>KK</t>
  </si>
  <si>
    <r>
      <t>f</t>
    </r>
    <r>
      <rPr>
        <i/>
        <vertAlign val="subscript"/>
        <sz val="12"/>
        <rFont val="Calisto MT"/>
        <family val="1"/>
      </rPr>
      <t>Korr</t>
    </r>
  </si>
  <si>
    <t>Korrekturfaktor</t>
  </si>
  <si>
    <t>gesetzte Werte</t>
  </si>
  <si>
    <r>
      <t>KK</t>
    </r>
    <r>
      <rPr>
        <sz val="12"/>
        <rFont val="Arial"/>
        <family val="2"/>
      </rPr>
      <t xml:space="preserve"> </t>
    </r>
    <r>
      <rPr>
        <sz val="10"/>
        <rFont val="Arial"/>
      </rPr>
      <t>ist im EEG auf 130€/kW festgesetzt</t>
    </r>
  </si>
  <si>
    <t>2)= 20 ct./kWh</t>
    <phoneticPr fontId="8" type="noConversion"/>
  </si>
  <si>
    <r>
      <t>zusätzlich installierte Leistung [kW</t>
    </r>
    <r>
      <rPr>
        <vertAlign val="subscript"/>
        <sz val="10"/>
        <rFont val="Arial"/>
        <family val="2"/>
      </rPr>
      <t>el</t>
    </r>
    <r>
      <rPr>
        <sz val="10"/>
        <rFont val="Verdana"/>
      </rPr>
      <t>]</t>
    </r>
  </si>
  <si>
    <t>Grid operator</t>
    <phoneticPr fontId="8" type="noConversion"/>
  </si>
  <si>
    <t>Plant capacity</t>
    <phoneticPr fontId="8" type="noConversion"/>
  </si>
  <si>
    <t>Explonation of the Formular and the variables included (German)</t>
    <phoneticPr fontId="8" type="noConversion"/>
  </si>
  <si>
    <t>Flexibilitätsprämie [€ct/kWh]</t>
    <phoneticPr fontId="8" type="noConversion"/>
  </si>
  <si>
    <t>1000 kW</t>
    <phoneticPr fontId="8" type="noConversion"/>
  </si>
  <si>
    <t>Installed capacity</t>
    <phoneticPr fontId="8" type="noConversion"/>
  </si>
  <si>
    <t>750 kW</t>
    <phoneticPr fontId="8" type="noConversion"/>
  </si>
  <si>
    <t>1000 kW</t>
    <phoneticPr fontId="8" type="noConversion"/>
  </si>
  <si>
    <t>-</t>
    <phoneticPr fontId="8" type="noConversion"/>
  </si>
  <si>
    <t>kWel</t>
    <phoneticPr fontId="8" type="noConversion"/>
  </si>
  <si>
    <t>KK</t>
    <phoneticPr fontId="8" type="noConversion"/>
  </si>
  <si>
    <r>
      <t>MP</t>
    </r>
    <r>
      <rPr>
        <sz val="10"/>
        <rFont val="Verdana"/>
      </rPr>
      <t>: Marktprämie</t>
    </r>
    <phoneticPr fontId="8" type="noConversion"/>
  </si>
  <si>
    <r>
      <t>EEG</t>
    </r>
    <r>
      <rPr>
        <sz val="10"/>
        <rFont val="Verdana"/>
      </rPr>
      <t>: EEG compensation</t>
    </r>
    <phoneticPr fontId="8" type="noConversion"/>
  </si>
  <si>
    <t>Comparison Marktprämienmodell and EEG Feed-In</t>
    <phoneticPr fontId="8" type="noConversion"/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</si>
</sst>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7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0"/>
      <name val="Arial"/>
      <family val="2"/>
    </font>
    <font>
      <i/>
      <sz val="10"/>
      <name val="Arial"/>
      <family val="2"/>
    </font>
    <font>
      <i/>
      <sz val="12"/>
      <name val="Calisto MT"/>
      <family val="1"/>
    </font>
    <font>
      <i/>
      <vertAlign val="subscript"/>
      <sz val="12"/>
      <name val="Calisto MT"/>
      <family val="1"/>
    </font>
    <font>
      <vertAlign val="subscript"/>
      <sz val="10"/>
      <name val="Arial"/>
      <family val="2"/>
    </font>
    <font>
      <sz val="12"/>
      <name val="Arial"/>
      <family val="2"/>
    </font>
    <font>
      <sz val="10"/>
      <name val="Arial"/>
    </font>
    <font>
      <sz val="12"/>
      <name val="Verdana"/>
    </font>
    <font>
      <sz val="10"/>
      <color indexed="18"/>
      <name val="Verdana"/>
    </font>
    <font>
      <sz val="8"/>
      <color indexed="18"/>
      <name val="Verdana"/>
    </font>
    <font>
      <sz val="10"/>
      <color indexed="62"/>
      <name val="Verdana"/>
    </font>
    <font>
      <b/>
      <sz val="10"/>
      <color indexed="17"/>
      <name val="Verdana"/>
    </font>
    <font>
      <sz val="10"/>
      <color indexed="17"/>
      <name val="Verdana"/>
    </font>
    <font>
      <sz val="10"/>
      <name val="Verdana"/>
    </font>
    <font>
      <b/>
      <i/>
      <sz val="11"/>
      <name val="Arial"/>
    </font>
    <font>
      <vertAlign val="subscript"/>
      <sz val="10"/>
      <name val="Verdana"/>
    </font>
    <font>
      <sz val="10"/>
      <color indexed="22"/>
      <name val="Verdana"/>
    </font>
    <font>
      <vertAlign val="superscript"/>
      <sz val="12"/>
      <name val="Verdana"/>
    </font>
    <font>
      <vertAlign val="superscript"/>
      <sz val="10"/>
      <color indexed="62"/>
      <name val="Verdana"/>
    </font>
    <font>
      <vertAlign val="superscript"/>
      <sz val="10"/>
      <name val="Verdana"/>
    </font>
    <font>
      <sz val="10"/>
      <name val="Verdana"/>
    </font>
    <font>
      <b/>
      <sz val="10"/>
      <name val="Verdana"/>
    </font>
    <font>
      <sz val="10"/>
      <color indexed="9"/>
      <name val="Verdana"/>
    </font>
    <font>
      <sz val="9"/>
      <name val="Verdana"/>
    </font>
    <font>
      <sz val="9"/>
      <color indexed="81"/>
      <name val="Verdana"/>
    </font>
    <font>
      <b/>
      <sz val="9"/>
      <color indexed="81"/>
      <name val="Verdana"/>
    </font>
    <font>
      <vertAlign val="superscript"/>
      <sz val="9"/>
      <color indexed="81"/>
      <name val="Verdana"/>
    </font>
    <font>
      <b/>
      <sz val="15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3" fontId="0" fillId="0" borderId="0" xfId="0" applyNumberFormat="1"/>
    <xf numFmtId="4" fontId="0" fillId="0" borderId="0" xfId="0" applyNumberFormat="1"/>
    <xf numFmtId="17" fontId="0" fillId="0" borderId="0" xfId="0" applyNumberFormat="1"/>
    <xf numFmtId="0" fontId="16" fillId="0" borderId="3" xfId="0" applyFont="1" applyBorder="1"/>
    <xf numFmtId="0" fontId="16" fillId="0" borderId="4" xfId="0" applyFont="1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4" borderId="0" xfId="0" applyFill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0" xfId="0" applyFill="1" applyBorder="1"/>
    <xf numFmtId="0" fontId="6" fillId="3" borderId="6" xfId="0" applyFont="1" applyFill="1" applyBorder="1"/>
    <xf numFmtId="0" fontId="0" fillId="3" borderId="9" xfId="0" applyFill="1" applyBorder="1"/>
    <xf numFmtId="0" fontId="17" fillId="0" borderId="0" xfId="0" applyFont="1"/>
    <xf numFmtId="0" fontId="8" fillId="3" borderId="6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2" xfId="0" applyFill="1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2" borderId="6" xfId="0" applyFont="1" applyFill="1" applyBorder="1" applyProtection="1"/>
    <xf numFmtId="0" fontId="9" fillId="2" borderId="6" xfId="0" applyFont="1" applyFill="1" applyBorder="1" applyProtection="1"/>
    <xf numFmtId="0" fontId="11" fillId="2" borderId="8" xfId="0" applyFont="1" applyFill="1" applyBorder="1" applyProtection="1"/>
    <xf numFmtId="0" fontId="22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Protection="1"/>
    <xf numFmtId="0" fontId="22" fillId="2" borderId="6" xfId="0" applyFont="1" applyFill="1" applyBorder="1" applyProtection="1"/>
    <xf numFmtId="0" fontId="22" fillId="2" borderId="0" xfId="0" applyFont="1" applyFill="1" applyBorder="1" applyAlignment="1" applyProtection="1">
      <alignment vertical="top" wrapText="1"/>
    </xf>
    <xf numFmtId="0" fontId="22" fillId="2" borderId="9" xfId="0" applyFont="1" applyFill="1" applyBorder="1" applyAlignment="1" applyProtection="1">
      <alignment vertical="top" wrapText="1"/>
    </xf>
    <xf numFmtId="0" fontId="22" fillId="2" borderId="9" xfId="0" applyFont="1" applyFill="1" applyBorder="1" applyProtection="1"/>
    <xf numFmtId="0" fontId="0" fillId="2" borderId="0" xfId="0" applyFill="1" applyBorder="1"/>
    <xf numFmtId="0" fontId="7" fillId="2" borderId="0" xfId="0" applyFont="1" applyFill="1" applyBorder="1"/>
    <xf numFmtId="0" fontId="0" fillId="2" borderId="25" xfId="0" applyFill="1" applyBorder="1"/>
    <xf numFmtId="0" fontId="9" fillId="2" borderId="20" xfId="0" applyFont="1" applyFill="1" applyBorder="1" applyProtection="1"/>
    <xf numFmtId="0" fontId="10" fillId="2" borderId="2" xfId="0" applyNumberFormat="1" applyFont="1" applyFill="1" applyBorder="1" applyAlignment="1" applyProtection="1">
      <alignment horizontal="left" vertical="top" wrapText="1"/>
    </xf>
    <xf numFmtId="0" fontId="22" fillId="2" borderId="2" xfId="0" applyFont="1" applyFill="1" applyBorder="1" applyProtection="1"/>
    <xf numFmtId="0" fontId="22" fillId="2" borderId="21" xfId="0" applyFont="1" applyFill="1" applyBorder="1" applyProtection="1"/>
    <xf numFmtId="0" fontId="0" fillId="2" borderId="22" xfId="0" applyFill="1" applyBorder="1"/>
    <xf numFmtId="0" fontId="22" fillId="2" borderId="1" xfId="0" applyFont="1" applyFill="1" applyBorder="1" applyAlignment="1" applyProtection="1">
      <alignment horizontal="left"/>
    </xf>
    <xf numFmtId="0" fontId="22" fillId="2" borderId="1" xfId="0" applyFont="1" applyFill="1" applyBorder="1" applyProtection="1"/>
    <xf numFmtId="0" fontId="22" fillId="2" borderId="23" xfId="0" applyFont="1" applyFill="1" applyBorder="1" applyProtection="1"/>
    <xf numFmtId="0" fontId="0" fillId="2" borderId="24" xfId="0" applyFill="1" applyBorder="1"/>
    <xf numFmtId="0" fontId="0" fillId="2" borderId="26" xfId="0" applyFill="1" applyBorder="1"/>
    <xf numFmtId="0" fontId="25" fillId="2" borderId="0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 applyAlignment="1">
      <alignment horizontal="center" wrapText="1"/>
    </xf>
    <xf numFmtId="3" fontId="0" fillId="0" borderId="0" xfId="0" applyNumberFormat="1" applyBorder="1"/>
    <xf numFmtId="3" fontId="0" fillId="0" borderId="11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0" fontId="0" fillId="0" borderId="6" xfId="0" applyBorder="1" applyAlignment="1">
      <alignment vertical="top" wrapText="1"/>
    </xf>
    <xf numFmtId="3" fontId="0" fillId="0" borderId="11" xfId="0" applyNumberFormat="1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8" xfId="0" applyFill="1" applyBorder="1" applyAlignment="1">
      <alignment wrapText="1"/>
    </xf>
    <xf numFmtId="0" fontId="6" fillId="5" borderId="9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/>
    </xf>
    <xf numFmtId="3" fontId="20" fillId="5" borderId="9" xfId="0" applyNumberFormat="1" applyFont="1" applyFill="1" applyBorder="1"/>
    <xf numFmtId="3" fontId="20" fillId="5" borderId="12" xfId="0" applyNumberFormat="1" applyFont="1" applyFill="1" applyBorder="1"/>
    <xf numFmtId="3" fontId="20" fillId="5" borderId="17" xfId="0" applyNumberFormat="1" applyFont="1" applyFill="1" applyBorder="1"/>
    <xf numFmtId="3" fontId="20" fillId="5" borderId="16" xfId="0" applyNumberFormat="1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" xfId="0" applyNumberFormat="1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3" fontId="0" fillId="0" borderId="11" xfId="0" applyNumberFormat="1" applyBorder="1"/>
    <xf numFmtId="0" fontId="0" fillId="0" borderId="9" xfId="0" applyBorder="1" applyAlignment="1">
      <alignment wrapText="1"/>
    </xf>
    <xf numFmtId="3" fontId="0" fillId="0" borderId="9" xfId="0" applyNumberFormat="1" applyBorder="1"/>
    <xf numFmtId="3" fontId="0" fillId="0" borderId="12" xfId="0" applyNumberFormat="1" applyBorder="1"/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0" borderId="6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20" fillId="5" borderId="7" xfId="0" applyNumberFormat="1" applyFont="1" applyFill="1" applyBorder="1"/>
    <xf numFmtId="3" fontId="20" fillId="0" borderId="9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wrapText="1"/>
    </xf>
    <xf numFmtId="3" fontId="20" fillId="5" borderId="10" xfId="0" applyNumberFormat="1" applyFont="1" applyFill="1" applyBorder="1"/>
    <xf numFmtId="0" fontId="0" fillId="0" borderId="0" xfId="0" applyAlignment="1">
      <alignment horizontal="center" vertical="center"/>
    </xf>
    <xf numFmtId="1" fontId="8" fillId="3" borderId="9" xfId="0" applyNumberFormat="1" applyFont="1" applyFill="1" applyBorder="1" applyAlignment="1">
      <alignment horizontal="left"/>
    </xf>
    <xf numFmtId="0" fontId="5" fillId="3" borderId="0" xfId="0" applyFont="1" applyFill="1" applyBorder="1"/>
    <xf numFmtId="0" fontId="31" fillId="0" borderId="0" xfId="0" applyFont="1" applyFill="1"/>
    <xf numFmtId="3" fontId="21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" fontId="6" fillId="0" borderId="0" xfId="0" applyNumberFormat="1" applyFont="1" applyFill="1" applyBorder="1"/>
    <xf numFmtId="3" fontId="4" fillId="5" borderId="27" xfId="0" applyNumberFormat="1" applyFont="1" applyFill="1" applyBorder="1" applyAlignment="1">
      <alignment horizontal="center" vertical="center"/>
    </xf>
    <xf numFmtId="3" fontId="4" fillId="5" borderId="17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vertical="center" wrapText="1"/>
    </xf>
    <xf numFmtId="0" fontId="17" fillId="7" borderId="14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0" fontId="17" fillId="8" borderId="13" xfId="0" applyFont="1" applyFill="1" applyBorder="1" applyAlignment="1">
      <alignment vertical="center" wrapText="1"/>
    </xf>
    <xf numFmtId="0" fontId="17" fillId="8" borderId="14" xfId="0" applyFont="1" applyFill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3" fontId="0" fillId="0" borderId="9" xfId="0" applyNumberFormat="1" applyBorder="1" applyAlignment="1">
      <alignment horizontal="center"/>
    </xf>
    <xf numFmtId="3" fontId="20" fillId="0" borderId="0" xfId="0" applyNumberFormat="1" applyFont="1" applyFill="1" applyBorder="1"/>
    <xf numFmtId="3" fontId="5" fillId="5" borderId="17" xfId="0" applyNumberFormat="1" applyFont="1" applyFill="1" applyBorder="1"/>
    <xf numFmtId="3" fontId="5" fillId="0" borderId="0" xfId="0" applyNumberFormat="1" applyFont="1" applyBorder="1"/>
    <xf numFmtId="3" fontId="5" fillId="0" borderId="11" xfId="0" applyNumberFormat="1" applyFont="1" applyBorder="1"/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6" fillId="5" borderId="28" xfId="0" applyFont="1" applyFill="1" applyBorder="1" applyAlignment="1">
      <alignment wrapText="1"/>
    </xf>
    <xf numFmtId="0" fontId="6" fillId="5" borderId="29" xfId="0" applyFont="1" applyFill="1" applyBorder="1"/>
    <xf numFmtId="3" fontId="6" fillId="5" borderId="29" xfId="0" applyNumberFormat="1" applyFont="1" applyFill="1" applyBorder="1"/>
    <xf numFmtId="3" fontId="6" fillId="5" borderId="30" xfId="0" applyNumberFormat="1" applyFont="1" applyFill="1" applyBorder="1"/>
    <xf numFmtId="3" fontId="6" fillId="5" borderId="17" xfId="0" applyNumberFormat="1" applyFont="1" applyFill="1" applyBorder="1"/>
    <xf numFmtId="0" fontId="0" fillId="0" borderId="0" xfId="0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0" fillId="0" borderId="0" xfId="0" applyFont="1" applyFill="1" applyBorder="1"/>
    <xf numFmtId="165" fontId="30" fillId="0" borderId="0" xfId="0" applyNumberFormat="1" applyFont="1" applyFill="1" applyBorder="1"/>
    <xf numFmtId="0" fontId="0" fillId="0" borderId="9" xfId="0" applyBorder="1"/>
    <xf numFmtId="0" fontId="0" fillId="5" borderId="6" xfId="0" applyFill="1" applyBorder="1" applyAlignment="1">
      <alignment wrapText="1"/>
    </xf>
    <xf numFmtId="0" fontId="0" fillId="5" borderId="0" xfId="0" applyFill="1" applyBorder="1"/>
    <xf numFmtId="3" fontId="0" fillId="5" borderId="0" xfId="0" applyNumberFormat="1" applyFill="1" applyBorder="1"/>
    <xf numFmtId="3" fontId="0" fillId="5" borderId="11" xfId="0" applyNumberFormat="1" applyFill="1" applyBorder="1"/>
    <xf numFmtId="0" fontId="36" fillId="3" borderId="4" xfId="0" applyFont="1" applyFill="1" applyBorder="1"/>
    <xf numFmtId="165" fontId="0" fillId="0" borderId="0" xfId="0" applyNumberFormat="1"/>
    <xf numFmtId="0" fontId="3" fillId="9" borderId="13" xfId="0" applyFont="1" applyFill="1" applyBorder="1" applyAlignment="1">
      <alignment wrapText="1"/>
    </xf>
    <xf numFmtId="0" fontId="3" fillId="9" borderId="14" xfId="0" applyFont="1" applyFill="1" applyBorder="1"/>
    <xf numFmtId="3" fontId="3" fillId="9" borderId="14" xfId="0" applyNumberFormat="1" applyFont="1" applyFill="1" applyBorder="1"/>
    <xf numFmtId="3" fontId="3" fillId="9" borderId="15" xfId="0" applyNumberFormat="1" applyFont="1" applyFill="1" applyBorder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/>
    <xf numFmtId="3" fontId="3" fillId="5" borderId="9" xfId="0" applyNumberFormat="1" applyFont="1" applyFill="1" applyBorder="1"/>
    <xf numFmtId="3" fontId="3" fillId="5" borderId="12" xfId="0" applyNumberFormat="1" applyFont="1" applyFill="1" applyBorder="1"/>
    <xf numFmtId="0" fontId="0" fillId="5" borderId="0" xfId="0" applyFill="1"/>
    <xf numFmtId="0" fontId="0" fillId="0" borderId="0" xfId="0" applyFill="1"/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/>
    <xf numFmtId="3" fontId="6" fillId="0" borderId="0" xfId="0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165" fontId="1" fillId="0" borderId="9" xfId="0" applyNumberFormat="1" applyFont="1" applyBorder="1"/>
    <xf numFmtId="165" fontId="1" fillId="0" borderId="12" xfId="0" applyNumberFormat="1" applyFont="1" applyBorder="1"/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5" fontId="2" fillId="10" borderId="13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31" fillId="7" borderId="14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0" fillId="3" borderId="4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31" fillId="0" borderId="9" xfId="0" applyFont="1" applyFill="1" applyBorder="1" applyAlignment="1"/>
    <xf numFmtId="0" fontId="31" fillId="0" borderId="12" xfId="0" applyFont="1" applyFill="1" applyBorder="1" applyAlignment="1"/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22" fillId="2" borderId="1" xfId="0" applyFont="1" applyFill="1" applyBorder="1" applyAlignment="1" applyProtection="1">
      <alignment horizontal="left"/>
    </xf>
    <xf numFmtId="0" fontId="23" fillId="2" borderId="22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11" xfId="0" applyFill="1" applyBorder="1" applyAlignment="1"/>
    <xf numFmtId="0" fontId="0" fillId="2" borderId="18" xfId="0" applyFill="1" applyBorder="1" applyAlignment="1"/>
    <xf numFmtId="0" fontId="0" fillId="2" borderId="2" xfId="0" applyFill="1" applyBorder="1" applyAlignment="1"/>
    <xf numFmtId="0" fontId="0" fillId="2" borderId="19" xfId="0" applyFill="1" applyBorder="1" applyAlignment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203200</xdr:colOff>
      <xdr:row>4</xdr:row>
      <xdr:rowOff>139700</xdr:rowOff>
    </xdr:from>
    <xdr:ext cx="184666" cy="261610"/>
    <xdr:sp macro="" textlink="">
      <xdr:nvSpPr>
        <xdr:cNvPr id="2" name="Textfeld 1"/>
        <xdr:cNvSpPr txBox="1"/>
      </xdr:nvSpPr>
      <xdr:spPr>
        <a:xfrm>
          <a:off x="2108200" y="80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5</xdr:col>
      <xdr:colOff>939800</xdr:colOff>
      <xdr:row>20</xdr:row>
      <xdr:rowOff>81280</xdr:rowOff>
    </xdr:to>
    <xdr:sp macro="" textlink="">
      <xdr:nvSpPr>
        <xdr:cNvPr id="3" name="Textfeld 2"/>
        <xdr:cNvSpPr txBox="1"/>
      </xdr:nvSpPr>
      <xdr:spPr>
        <a:xfrm>
          <a:off x="0" y="0"/>
          <a:ext cx="5816600" cy="333248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de-DE" sz="1700" b="1"/>
            <a:t>Overview</a:t>
          </a:r>
        </a:p>
        <a:p>
          <a:pPr algn="ctr"/>
          <a:endParaRPr lang="de-DE" sz="1100"/>
        </a:p>
        <a:p>
          <a:pPr algn="ctr"/>
          <a:r>
            <a:rPr lang="de-DE" sz="1400"/>
            <a:t>Calculation</a:t>
          </a:r>
          <a:r>
            <a:rPr lang="de-DE" sz="1400" baseline="0"/>
            <a:t> of revenues from Marktprämienmodell</a:t>
          </a:r>
        </a:p>
        <a:p>
          <a:pPr algn="l"/>
          <a:endParaRPr lang="de-DE" sz="1100" baseline="0"/>
        </a:p>
        <a:p>
          <a:pPr algn="l"/>
          <a:r>
            <a:rPr lang="de-DE" sz="1100" u="sng" baseline="0"/>
            <a:t>Content: </a:t>
          </a:r>
        </a:p>
        <a:p>
          <a:pPr algn="l"/>
          <a:r>
            <a:rPr lang="de-DE" sz="1100" baseline="0"/>
            <a:t>Sheet 2: Total revenues and assumptions</a:t>
          </a:r>
        </a:p>
        <a:p>
          <a:pPr algn="l"/>
          <a:r>
            <a:rPr lang="de-DE" sz="1100" baseline="0"/>
            <a:t>Sheet 3: Calculation revenues Marktprämie</a:t>
          </a:r>
        </a:p>
        <a:p>
          <a:pPr algn="l"/>
          <a:r>
            <a:rPr lang="de-DE" sz="1100" baseline="0"/>
            <a:t>Sheet 4: Calculation revenues Managementprämie</a:t>
          </a:r>
        </a:p>
        <a:p>
          <a:pPr algn="l"/>
          <a:r>
            <a:rPr lang="de-DE" sz="1100" baseline="0"/>
            <a:t>Sheet 5: Calculation revenues Flexibilitätsprämie</a:t>
          </a:r>
        </a:p>
        <a:p>
          <a:pPr algn="l"/>
          <a:r>
            <a:rPr lang="de-DE" sz="1100" baseline="0"/>
            <a:t>Sheet 6: Calculation revenues Spot Market Sales</a:t>
          </a:r>
        </a:p>
        <a:p>
          <a:pPr algn="l"/>
          <a:endParaRPr lang="de-DE" sz="1100" baseline="0"/>
        </a:p>
        <a:p>
          <a:pPr algn="l"/>
          <a:endParaRPr lang="de-DE" sz="1100" baseline="0"/>
        </a:p>
        <a:p>
          <a:pPr algn="ctr"/>
          <a:endParaRPr lang="de-DE" sz="1100" baseline="0"/>
        </a:p>
        <a:p>
          <a:pPr algn="ctr"/>
          <a:r>
            <a:rPr lang="de-DE" sz="1100" baseline="0"/>
            <a:t>Through the Marktprämienmodell towards a necessary Flexible Electricity Production from Biogas in Germany?</a:t>
          </a:r>
        </a:p>
        <a:p>
          <a:pPr algn="ctr"/>
          <a:endParaRPr lang="de-DE" sz="1100" baseline="0"/>
        </a:p>
        <a:p>
          <a:pPr algn="ctr"/>
          <a:r>
            <a:rPr lang="de-DE" sz="1100" baseline="0"/>
            <a:t>Master Thesis - Jakob Graf </a:t>
          </a:r>
        </a:p>
        <a:p>
          <a:pPr algn="ctr"/>
          <a:r>
            <a:rPr lang="de-DE" sz="1100" baseline="0"/>
            <a:t>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640080</xdr:rowOff>
    </xdr:from>
    <xdr:to>
      <xdr:col>2</xdr:col>
      <xdr:colOff>50800</xdr:colOff>
      <xdr:row>11</xdr:row>
      <xdr:rowOff>40640</xdr:rowOff>
    </xdr:to>
    <xdr:pic>
      <xdr:nvPicPr>
        <xdr:cNvPr id="3" name="Picture 1" descr="Macintosh HD:Users:ragamicus:Library:Caches:TemporaryItems:msoclip:0: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2640"/>
          <a:ext cx="413512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tabSelected="1" view="pageLayout" zoomScale="125" workbookViewId="0">
      <selection activeCell="C20" sqref="C20"/>
    </sheetView>
  </sheetViews>
  <sheetFormatPr baseColWidth="10" defaultColWidth="11" defaultRowHeight="13"/>
  <sheetData/>
  <sheetCalcPr fullCalcOnLoad="1"/>
  <phoneticPr fontId="8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46"/>
  <sheetViews>
    <sheetView view="pageLayout" workbookViewId="0">
      <selection activeCell="H28" sqref="H28"/>
    </sheetView>
  </sheetViews>
  <sheetFormatPr baseColWidth="10" defaultColWidth="11" defaultRowHeight="13"/>
  <cols>
    <col min="1" max="1" width="20" customWidth="1"/>
    <col min="2" max="2" width="14.42578125" customWidth="1"/>
  </cols>
  <sheetData>
    <row r="1" spans="1:6" ht="41">
      <c r="A1" s="86"/>
      <c r="B1" s="87" t="s">
        <v>46</v>
      </c>
      <c r="C1" s="87" t="s">
        <v>45</v>
      </c>
      <c r="D1" s="87" t="s">
        <v>36</v>
      </c>
      <c r="E1" s="87" t="s">
        <v>37</v>
      </c>
      <c r="F1" s="88" t="s">
        <v>38</v>
      </c>
    </row>
    <row r="2" spans="1:6">
      <c r="A2" s="77" t="s">
        <v>51</v>
      </c>
      <c r="B2" s="78" t="s">
        <v>47</v>
      </c>
      <c r="C2" s="79">
        <f>Marktprämie!B27</f>
        <v>542375.56999999995</v>
      </c>
      <c r="D2" s="79">
        <f>Marktprämie!C27</f>
        <v>624635.56999999995</v>
      </c>
      <c r="E2" s="81">
        <f>Marktprämie!B28</f>
        <v>545803.28</v>
      </c>
      <c r="F2" s="82">
        <f>Marktprämie!C28</f>
        <v>628583.28</v>
      </c>
    </row>
    <row r="3" spans="1:6">
      <c r="A3" s="68" t="s">
        <v>52</v>
      </c>
      <c r="B3" s="80" t="s">
        <v>48</v>
      </c>
      <c r="C3" s="81">
        <f>ManagementPrämie!C4/2</f>
        <v>6169.5</v>
      </c>
      <c r="D3" s="81">
        <f>ManagementPrämie!C4/2</f>
        <v>6169.5</v>
      </c>
      <c r="E3" s="81">
        <f>ManagementPrämie!C6/2</f>
        <v>6208.5</v>
      </c>
      <c r="F3" s="82">
        <f>ManagementPrämie!C6/2</f>
        <v>6208.5</v>
      </c>
    </row>
    <row r="4" spans="1:6">
      <c r="A4" s="68" t="s">
        <v>53</v>
      </c>
      <c r="B4" s="80" t="s">
        <v>115</v>
      </c>
      <c r="C4" s="81">
        <f>Flexibilitätsprämie!D24</f>
        <v>30550.470859186862</v>
      </c>
      <c r="D4" s="81">
        <f>Flexibilitätsprämie!D24</f>
        <v>30550.470859186862</v>
      </c>
      <c r="E4" s="81">
        <f>Flexibilitätsprämie!E24</f>
        <v>62434.132420091315</v>
      </c>
      <c r="F4" s="82">
        <f>Flexibilitätsprämie!E24</f>
        <v>62434.132420091315</v>
      </c>
    </row>
    <row r="5" spans="1:6">
      <c r="A5" s="69" t="s">
        <v>33</v>
      </c>
      <c r="B5" s="83" t="s">
        <v>34</v>
      </c>
      <c r="C5" s="84">
        <f>'Spot Market Sales'!B2</f>
        <v>234516</v>
      </c>
      <c r="D5" s="84">
        <f>'Spot Market Sales'!B2</f>
        <v>234516</v>
      </c>
      <c r="E5" s="84">
        <f>'Spot Market Sales'!B3</f>
        <v>246648</v>
      </c>
      <c r="F5" s="85">
        <f>'Spot Market Sales'!B3</f>
        <v>246648</v>
      </c>
    </row>
    <row r="6" spans="1:6" ht="14" thickBot="1">
      <c r="A6" s="124" t="s">
        <v>35</v>
      </c>
      <c r="B6" s="125"/>
      <c r="C6" s="126">
        <f>SUM(C2:C5)</f>
        <v>813611.54085918679</v>
      </c>
      <c r="D6" s="126">
        <f>SUM(D2:D5)</f>
        <v>895871.54085918679</v>
      </c>
      <c r="E6" s="128">
        <f>SUM(E2:E5)</f>
        <v>861093.91242009134</v>
      </c>
      <c r="F6" s="127">
        <f>SUM(F2:F5)</f>
        <v>943873.91242009134</v>
      </c>
    </row>
    <row r="7" spans="1:6" ht="26" customHeight="1">
      <c r="A7" s="158" t="s">
        <v>95</v>
      </c>
      <c r="B7" s="158" t="s">
        <v>113</v>
      </c>
      <c r="C7" s="157"/>
      <c r="D7" s="157"/>
      <c r="E7" s="157"/>
      <c r="F7" s="157"/>
    </row>
    <row r="8" spans="1:6" ht="24" customHeight="1">
      <c r="A8" s="154"/>
      <c r="B8" s="154"/>
      <c r="C8" s="154"/>
      <c r="D8" s="154"/>
      <c r="E8" s="154"/>
      <c r="F8" s="154"/>
    </row>
    <row r="9" spans="1:6" ht="27" customHeight="1">
      <c r="A9" s="161" t="s">
        <v>128</v>
      </c>
      <c r="B9" s="162"/>
      <c r="C9" s="162"/>
      <c r="D9" s="162"/>
      <c r="E9" s="162"/>
      <c r="F9" s="163"/>
    </row>
    <row r="10" spans="1:6" ht="34" customHeight="1">
      <c r="A10" s="68" t="s">
        <v>116</v>
      </c>
      <c r="B10" s="27"/>
      <c r="C10" s="27" t="s">
        <v>8</v>
      </c>
      <c r="D10" s="27" t="s">
        <v>0</v>
      </c>
      <c r="E10" s="27" t="s">
        <v>1</v>
      </c>
      <c r="F10" s="58" t="s">
        <v>71</v>
      </c>
    </row>
    <row r="11" spans="1:6" ht="30" customHeight="1">
      <c r="A11" s="69" t="s">
        <v>9</v>
      </c>
      <c r="B11" s="138"/>
      <c r="C11" s="84">
        <f>C6</f>
        <v>813611.54085918679</v>
      </c>
      <c r="D11" s="84">
        <f>D6</f>
        <v>895871.54085918679</v>
      </c>
      <c r="E11" s="84">
        <f>E6</f>
        <v>861093.91242009134</v>
      </c>
      <c r="F11" s="85">
        <f>F6</f>
        <v>943873.91242009134</v>
      </c>
    </row>
    <row r="12" spans="1:6" ht="24" customHeight="1">
      <c r="A12" s="68" t="s">
        <v>104</v>
      </c>
      <c r="B12" s="27"/>
      <c r="C12" s="81">
        <f>Marktprämie!I24*180</f>
        <v>740340</v>
      </c>
      <c r="D12" s="81">
        <f>Marktprämie!I24*200</f>
        <v>822600</v>
      </c>
      <c r="E12" s="81">
        <f>Marktprämie!F24*180</f>
        <v>745020</v>
      </c>
      <c r="F12" s="82">
        <f>Marktprämie!F24*200</f>
        <v>827800</v>
      </c>
    </row>
    <row r="13" spans="1:6" ht="29" customHeight="1">
      <c r="A13" s="69" t="s">
        <v>98</v>
      </c>
      <c r="B13" s="138"/>
      <c r="C13" s="159">
        <f>C11/(C12/100)-100</f>
        <v>9.8970122996443308</v>
      </c>
      <c r="D13" s="159">
        <f t="shared" ref="D13:F13" si="0">D11/(D12/100)-100</f>
        <v>8.9073110696798921</v>
      </c>
      <c r="E13" s="159">
        <f t="shared" si="0"/>
        <v>15.579972674571337</v>
      </c>
      <c r="F13" s="160">
        <f t="shared" si="0"/>
        <v>14.021975407114198</v>
      </c>
    </row>
    <row r="14" spans="1:6" ht="15" customHeight="1">
      <c r="A14" s="129"/>
    </row>
    <row r="15" spans="1:6" ht="29" customHeight="1">
      <c r="A15" s="161" t="s">
        <v>100</v>
      </c>
      <c r="B15" s="164"/>
      <c r="C15" s="164"/>
      <c r="D15" s="164"/>
      <c r="E15" s="164"/>
      <c r="F15" s="165"/>
    </row>
    <row r="16" spans="1:6" ht="23" customHeight="1">
      <c r="A16" s="68" t="s">
        <v>6</v>
      </c>
      <c r="B16" s="27"/>
      <c r="C16" s="81">
        <f>75*250</f>
        <v>18750</v>
      </c>
      <c r="D16" s="81">
        <f>75*250</f>
        <v>18750</v>
      </c>
      <c r="E16" s="81">
        <f>75*500</f>
        <v>37500</v>
      </c>
      <c r="F16" s="82">
        <f>75*500</f>
        <v>37500</v>
      </c>
    </row>
    <row r="17" spans="1:16" ht="28" customHeight="1">
      <c r="A17" s="68" t="s">
        <v>11</v>
      </c>
      <c r="B17" s="27"/>
      <c r="C17" s="81">
        <f>40*2100/10</f>
        <v>8400</v>
      </c>
      <c r="D17" s="81">
        <f>40*2100/10</f>
        <v>8400</v>
      </c>
      <c r="E17" s="81">
        <f>40*3500/10</f>
        <v>14000</v>
      </c>
      <c r="F17" s="82">
        <f>40*3500/10</f>
        <v>14000</v>
      </c>
    </row>
    <row r="18" spans="1:16" ht="21" customHeight="1">
      <c r="A18" s="68" t="s">
        <v>7</v>
      </c>
      <c r="B18" s="27"/>
      <c r="C18" s="81">
        <v>1650</v>
      </c>
      <c r="D18" s="81">
        <v>1650</v>
      </c>
      <c r="E18" s="81">
        <v>2100</v>
      </c>
      <c r="F18" s="82">
        <v>2100</v>
      </c>
    </row>
    <row r="19" spans="1:16" ht="25" customHeight="1">
      <c r="A19" s="68" t="s">
        <v>12</v>
      </c>
      <c r="B19" s="27"/>
      <c r="C19" s="81">
        <v>1800</v>
      </c>
      <c r="D19" s="81">
        <v>1800</v>
      </c>
      <c r="E19" s="81">
        <v>3780</v>
      </c>
      <c r="F19" s="82">
        <v>3780</v>
      </c>
    </row>
    <row r="20" spans="1:16" ht="36" customHeight="1">
      <c r="A20" s="68" t="s">
        <v>102</v>
      </c>
      <c r="B20" s="27"/>
      <c r="C20" s="81">
        <v>11950</v>
      </c>
      <c r="D20" s="81">
        <v>11950</v>
      </c>
      <c r="E20" s="81">
        <v>11950</v>
      </c>
      <c r="F20" s="82">
        <v>11950</v>
      </c>
    </row>
    <row r="21" spans="1:16" ht="27" customHeight="1">
      <c r="A21" s="68" t="s">
        <v>80</v>
      </c>
      <c r="B21" s="27"/>
      <c r="C21" s="81">
        <f>2.5*'Spot Market Sales'!C2</f>
        <v>10282.5</v>
      </c>
      <c r="D21" s="81">
        <f>2.5*'Spot Market Sales'!C2</f>
        <v>10282.5</v>
      </c>
      <c r="E21" s="81">
        <f>2.5*'Spot Market Sales'!C3</f>
        <v>10347.5</v>
      </c>
      <c r="F21" s="82">
        <f>2.5*'Spot Market Sales'!C3</f>
        <v>10347.5</v>
      </c>
    </row>
    <row r="22" spans="1:16" ht="31" customHeight="1">
      <c r="A22" s="68" t="s">
        <v>13</v>
      </c>
      <c r="B22" s="27"/>
      <c r="C22" s="81">
        <v>1500</v>
      </c>
      <c r="D22" s="81">
        <v>1500</v>
      </c>
      <c r="E22" s="81">
        <v>2000</v>
      </c>
      <c r="F22" s="82">
        <v>2000</v>
      </c>
    </row>
    <row r="23" spans="1:16" ht="24" customHeight="1">
      <c r="A23" s="68" t="s">
        <v>5</v>
      </c>
      <c r="B23" s="27"/>
      <c r="C23" s="81">
        <f>4*'Spot Market Sales'!C2</f>
        <v>16452</v>
      </c>
      <c r="D23" s="81">
        <f>4*'Spot Market Sales'!C2</f>
        <v>16452</v>
      </c>
      <c r="E23" s="81">
        <f>4*'Spot Market Sales'!C3</f>
        <v>16556</v>
      </c>
      <c r="F23" s="82">
        <f>4*'Spot Market Sales'!C3</f>
        <v>16556</v>
      </c>
    </row>
    <row r="24" spans="1:16" ht="26">
      <c r="A24" s="68" t="s">
        <v>81</v>
      </c>
      <c r="B24" s="27"/>
      <c r="C24" s="81">
        <f>SUM(C16:C23)</f>
        <v>70784.5</v>
      </c>
      <c r="D24" s="81">
        <f>SUM(D16:D23)</f>
        <v>70784.5</v>
      </c>
      <c r="E24" s="81">
        <f>SUM(E16:E23)</f>
        <v>98233.5</v>
      </c>
      <c r="F24" s="82">
        <f>SUM(F16:F23)</f>
        <v>98233.5</v>
      </c>
    </row>
    <row r="25" spans="1:16">
      <c r="A25" s="139"/>
      <c r="B25" s="140"/>
      <c r="C25" s="141"/>
      <c r="D25" s="141"/>
      <c r="E25" s="141"/>
      <c r="F25" s="142"/>
    </row>
    <row r="26" spans="1:16" ht="39">
      <c r="A26" s="68" t="s">
        <v>82</v>
      </c>
      <c r="B26" s="27"/>
      <c r="C26" s="81">
        <f>C11-C24</f>
        <v>742827.04085918679</v>
      </c>
      <c r="D26" s="81">
        <f>D11-D24</f>
        <v>825087.04085918679</v>
      </c>
      <c r="E26" s="81">
        <f>E11-E24</f>
        <v>762860.41242009134</v>
      </c>
      <c r="F26" s="82">
        <f>F11-F24</f>
        <v>845640.41242009134</v>
      </c>
    </row>
    <row r="27" spans="1:16" ht="19" customHeight="1">
      <c r="A27" s="68" t="s">
        <v>104</v>
      </c>
      <c r="B27" s="27"/>
      <c r="C27" s="81">
        <f>Marktprämie!I24*180</f>
        <v>740340</v>
      </c>
      <c r="D27" s="81">
        <f>Marktprämie!I24*200</f>
        <v>822600</v>
      </c>
      <c r="E27" s="81">
        <f>Marktprämie!F24*180</f>
        <v>745020</v>
      </c>
      <c r="F27" s="82">
        <f>Marktprämie!F24*200</f>
        <v>827800</v>
      </c>
    </row>
    <row r="28" spans="1:16" ht="31" customHeight="1">
      <c r="A28" s="145" t="s">
        <v>103</v>
      </c>
      <c r="B28" s="146"/>
      <c r="C28" s="147">
        <f>C26-C27</f>
        <v>2487.040859186789</v>
      </c>
      <c r="D28" s="147">
        <f>D26-D27</f>
        <v>2487.040859186789</v>
      </c>
      <c r="E28" s="147">
        <f t="shared" ref="E28:F28" si="1">E26-E27</f>
        <v>17840.412420091336</v>
      </c>
      <c r="F28" s="148">
        <f t="shared" si="1"/>
        <v>17840.412420091336</v>
      </c>
    </row>
    <row r="29" spans="1:16" s="153" customFormat="1" ht="13" customHeight="1">
      <c r="A29" s="149"/>
      <c r="B29" s="150"/>
      <c r="C29" s="151"/>
      <c r="D29" s="151"/>
      <c r="E29" s="151"/>
      <c r="F29" s="152"/>
      <c r="G29" s="154"/>
      <c r="H29" s="154"/>
      <c r="I29" s="154"/>
      <c r="J29" s="154"/>
      <c r="K29" s="154"/>
      <c r="L29" s="154"/>
      <c r="M29" s="154"/>
      <c r="N29" s="154"/>
      <c r="O29" s="154"/>
      <c r="P29" s="154"/>
    </row>
    <row r="30" spans="1:16" ht="38" customHeight="1">
      <c r="A30" s="155" t="s">
        <v>49</v>
      </c>
      <c r="B30" s="156"/>
      <c r="C30" s="166">
        <f>C24/C28</f>
        <v>28.461333772837598</v>
      </c>
      <c r="D30" s="167"/>
      <c r="E30" s="166">
        <f>E24/E28</f>
        <v>5.5062348160389156</v>
      </c>
      <c r="F30" s="167"/>
    </row>
    <row r="32" spans="1:16">
      <c r="D32" s="144"/>
    </row>
    <row r="33" spans="1:8">
      <c r="C33" s="1"/>
      <c r="D33" s="1"/>
    </row>
    <row r="34" spans="1:8">
      <c r="C34" s="1"/>
      <c r="D34" s="1"/>
    </row>
    <row r="35" spans="1:8">
      <c r="C35" s="2"/>
      <c r="D35" s="1"/>
    </row>
    <row r="36" spans="1:8">
      <c r="C36" s="1"/>
      <c r="D36" s="1"/>
    </row>
    <row r="37" spans="1:8">
      <c r="C37" s="1"/>
      <c r="D37" s="1"/>
    </row>
    <row r="38" spans="1:8">
      <c r="C38" s="1"/>
      <c r="D38" s="1"/>
    </row>
    <row r="39" spans="1:8">
      <c r="A39" s="27"/>
      <c r="B39" s="27"/>
      <c r="C39" s="81"/>
      <c r="D39" s="81"/>
      <c r="E39" s="27"/>
      <c r="F39" s="27"/>
      <c r="G39" s="27"/>
      <c r="H39" s="27"/>
    </row>
    <row r="40" spans="1:8">
      <c r="A40" s="27"/>
      <c r="B40" s="133"/>
      <c r="C40" s="131"/>
      <c r="D40" s="131"/>
      <c r="E40" s="130"/>
      <c r="F40" s="130"/>
      <c r="G40" s="130"/>
      <c r="H40" s="130"/>
    </row>
    <row r="41" spans="1:8">
      <c r="A41" s="27"/>
      <c r="B41" s="134"/>
      <c r="C41" s="130"/>
      <c r="D41" s="131"/>
      <c r="E41" s="131"/>
      <c r="F41" s="131"/>
      <c r="G41" s="130"/>
      <c r="H41" s="130"/>
    </row>
    <row r="42" spans="1:8">
      <c r="A42" s="27"/>
      <c r="B42" s="134"/>
      <c r="C42" s="130"/>
      <c r="D42" s="130"/>
      <c r="E42" s="132"/>
      <c r="F42" s="130"/>
      <c r="G42" s="130"/>
      <c r="H42" s="130"/>
    </row>
    <row r="43" spans="1:8">
      <c r="A43" s="27"/>
      <c r="B43" s="133"/>
      <c r="C43" s="130"/>
      <c r="D43" s="130"/>
      <c r="E43" s="130"/>
      <c r="F43" s="130"/>
      <c r="G43" s="130"/>
      <c r="H43" s="130"/>
    </row>
    <row r="44" spans="1:8">
      <c r="A44" s="27"/>
      <c r="B44" s="135"/>
      <c r="C44" s="136"/>
      <c r="D44" s="136"/>
      <c r="E44" s="136"/>
      <c r="F44" s="137"/>
      <c r="G44" s="136"/>
      <c r="H44" s="130"/>
    </row>
    <row r="45" spans="1:8">
      <c r="A45" s="27"/>
      <c r="B45" s="130"/>
      <c r="C45" s="130"/>
      <c r="D45" s="130"/>
      <c r="E45" s="130"/>
      <c r="F45" s="130"/>
      <c r="G45" s="130"/>
      <c r="H45" s="130"/>
    </row>
    <row r="46" spans="1:8">
      <c r="A46" s="27"/>
      <c r="B46" s="27"/>
      <c r="C46" s="27"/>
      <c r="D46" s="27"/>
      <c r="E46" s="27"/>
      <c r="F46" s="27"/>
      <c r="G46" s="27"/>
      <c r="H46" s="27"/>
    </row>
  </sheetData>
  <sheetCalcPr fullCalcOnLoad="1"/>
  <mergeCells count="4">
    <mergeCell ref="A9:F9"/>
    <mergeCell ref="A15:F15"/>
    <mergeCell ref="C30:D30"/>
    <mergeCell ref="E30:F30"/>
  </mergeCells>
  <phoneticPr fontId="8" type="noConversion"/>
  <pageMargins left="0.75000000000000011" right="0.75000000000000011" top="1" bottom="1" header="0.5" footer="0.5"/>
  <pageSetup scale="50" orientation="landscape" horizontalDpi="4294967292" verticalDpi="4294967292"/>
  <headerFooter>
    <oddHeader>&amp;L&amp;"Verdana,Fett"&amp;12Calculation of Marktprämien revenues</oddHeader>
  </headerFooter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9"/>
  <sheetViews>
    <sheetView view="pageLayout" zoomScale="75" workbookViewId="0">
      <selection activeCell="E31" sqref="E31"/>
    </sheetView>
  </sheetViews>
  <sheetFormatPr baseColWidth="10" defaultColWidth="11" defaultRowHeight="13"/>
  <cols>
    <col min="1" max="1" width="21.85546875" customWidth="1"/>
    <col min="2" max="2" width="16.28515625" customWidth="1"/>
    <col min="3" max="3" width="11" customWidth="1"/>
    <col min="4" max="4" width="10.85546875" customWidth="1"/>
    <col min="5" max="5" width="10.5703125" customWidth="1"/>
    <col min="6" max="6" width="10" customWidth="1"/>
    <col min="7" max="7" width="10.85546875" customWidth="1"/>
    <col min="8" max="8" width="8.85546875" customWidth="1"/>
  </cols>
  <sheetData>
    <row r="1" spans="1:11" ht="19">
      <c r="A1" s="9" t="s">
        <v>55</v>
      </c>
      <c r="B1" s="143" t="s">
        <v>64</v>
      </c>
      <c r="C1" s="10"/>
      <c r="D1" s="10"/>
      <c r="E1" s="10"/>
      <c r="F1" s="10"/>
      <c r="G1" s="10"/>
      <c r="H1" s="174"/>
      <c r="I1" s="175"/>
      <c r="J1" s="175"/>
      <c r="K1" s="176"/>
    </row>
    <row r="2" spans="1:11">
      <c r="A2" s="11"/>
      <c r="B2" s="12"/>
      <c r="C2" s="12"/>
      <c r="D2" s="12"/>
      <c r="E2" s="12"/>
      <c r="F2" s="12"/>
      <c r="G2" s="12"/>
      <c r="H2" s="177"/>
      <c r="I2" s="177"/>
      <c r="J2" s="177"/>
      <c r="K2" s="178"/>
    </row>
    <row r="3" spans="1:11">
      <c r="A3" s="13" t="s">
        <v>126</v>
      </c>
      <c r="B3" s="12"/>
      <c r="C3" s="12"/>
      <c r="D3" s="12"/>
      <c r="E3" s="12"/>
      <c r="F3" s="12"/>
      <c r="G3" s="12"/>
      <c r="H3" s="177"/>
      <c r="I3" s="177"/>
      <c r="J3" s="177"/>
      <c r="K3" s="178"/>
    </row>
    <row r="4" spans="1:11">
      <c r="A4" s="13" t="s">
        <v>127</v>
      </c>
      <c r="B4" s="12"/>
      <c r="C4" s="12"/>
      <c r="D4" s="12"/>
      <c r="E4" s="12"/>
      <c r="F4" s="97"/>
      <c r="G4" s="12"/>
      <c r="H4" s="177"/>
      <c r="I4" s="177"/>
      <c r="J4" s="177"/>
      <c r="K4" s="178"/>
    </row>
    <row r="5" spans="1:11" ht="35">
      <c r="A5" s="18" t="s">
        <v>105</v>
      </c>
      <c r="B5" s="12"/>
      <c r="C5" s="12"/>
      <c r="D5" s="12"/>
      <c r="E5" s="12"/>
      <c r="F5" s="12"/>
      <c r="G5" s="12"/>
      <c r="H5" s="177"/>
      <c r="I5" s="177"/>
      <c r="J5" s="177"/>
      <c r="K5" s="178"/>
    </row>
    <row r="6" spans="1:11">
      <c r="A6" s="16" t="s">
        <v>83</v>
      </c>
      <c r="B6" s="19">
        <v>180</v>
      </c>
      <c r="C6" s="12"/>
      <c r="D6" s="12"/>
      <c r="E6" s="12"/>
      <c r="F6" s="12"/>
      <c r="G6" s="12"/>
      <c r="H6" s="177"/>
      <c r="I6" s="177"/>
      <c r="J6" s="177"/>
      <c r="K6" s="178"/>
    </row>
    <row r="7" spans="1:11">
      <c r="A7" s="17" t="s">
        <v>84</v>
      </c>
      <c r="B7" s="96">
        <v>200</v>
      </c>
      <c r="C7" s="14"/>
      <c r="D7" s="14"/>
      <c r="E7" s="14"/>
      <c r="F7" s="14"/>
      <c r="G7" s="14"/>
      <c r="H7" s="179"/>
      <c r="I7" s="179"/>
      <c r="J7" s="179"/>
      <c r="K7" s="180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1" customHeight="1">
      <c r="A9" s="98"/>
      <c r="B9" s="181"/>
      <c r="C9" s="181"/>
      <c r="D9" s="181"/>
      <c r="E9" s="182"/>
      <c r="F9" s="168" t="s">
        <v>15</v>
      </c>
      <c r="G9" s="169"/>
      <c r="H9" s="170"/>
      <c r="I9" s="171" t="s">
        <v>16</v>
      </c>
      <c r="J9" s="172"/>
      <c r="K9" s="173"/>
    </row>
    <row r="10" spans="1:11" ht="40" customHeight="1">
      <c r="A10" s="15" t="s">
        <v>40</v>
      </c>
      <c r="B10" s="113" t="s">
        <v>39</v>
      </c>
      <c r="C10" s="114" t="s">
        <v>44</v>
      </c>
      <c r="D10" s="115" t="s">
        <v>85</v>
      </c>
      <c r="E10" s="116" t="s">
        <v>86</v>
      </c>
      <c r="F10" s="107" t="s">
        <v>14</v>
      </c>
      <c r="G10" s="108" t="s">
        <v>87</v>
      </c>
      <c r="H10" s="109" t="s">
        <v>17</v>
      </c>
      <c r="I10" s="110" t="s">
        <v>10</v>
      </c>
      <c r="J10" s="111" t="s">
        <v>101</v>
      </c>
      <c r="K10" s="112" t="s">
        <v>17</v>
      </c>
    </row>
    <row r="11" spans="1:11">
      <c r="A11" s="3">
        <v>39082</v>
      </c>
      <c r="B11" s="2">
        <v>50.13</v>
      </c>
      <c r="C11" s="2">
        <f t="shared" ref="C11:C22" si="0">B11-3</f>
        <v>47.13</v>
      </c>
      <c r="D11" s="2">
        <f>B6-C11</f>
        <v>132.87</v>
      </c>
      <c r="E11" s="2">
        <f>B7-C11</f>
        <v>152.87</v>
      </c>
      <c r="F11" s="6">
        <v>348</v>
      </c>
      <c r="G11" s="81">
        <f>D11*F11</f>
        <v>46238.76</v>
      </c>
      <c r="H11" s="82">
        <f>E11*F11</f>
        <v>53198.76</v>
      </c>
      <c r="I11" s="6">
        <v>348</v>
      </c>
      <c r="J11" s="81">
        <f>D11*I11</f>
        <v>46238.76</v>
      </c>
      <c r="K11" s="82">
        <f>E11*I11</f>
        <v>53198.76</v>
      </c>
    </row>
    <row r="12" spans="1:11">
      <c r="A12" s="3">
        <v>39113</v>
      </c>
      <c r="B12" s="2">
        <v>50.86</v>
      </c>
      <c r="C12" s="2">
        <f t="shared" si="0"/>
        <v>47.86</v>
      </c>
      <c r="D12" s="2">
        <f>B6-C12</f>
        <v>132.13999999999999</v>
      </c>
      <c r="E12" s="2">
        <f>B7-C12</f>
        <v>152.13999999999999</v>
      </c>
      <c r="F12" s="6">
        <v>317</v>
      </c>
      <c r="G12" s="81">
        <f t="shared" ref="G12:G22" si="1">D12*F12</f>
        <v>41888.379999999997</v>
      </c>
      <c r="H12" s="82">
        <f t="shared" ref="H12:H22" si="2">E12*F12</f>
        <v>48228.38</v>
      </c>
      <c r="I12" s="6">
        <v>314</v>
      </c>
      <c r="J12" s="81">
        <f t="shared" ref="J12:J22" si="3">D12*I12</f>
        <v>41491.96</v>
      </c>
      <c r="K12" s="82">
        <f t="shared" ref="K12:K22" si="4">E12*I12</f>
        <v>47771.96</v>
      </c>
    </row>
    <row r="13" spans="1:11">
      <c r="A13" s="3">
        <v>39141</v>
      </c>
      <c r="B13" s="2">
        <v>54.4</v>
      </c>
      <c r="C13" s="2">
        <f t="shared" si="0"/>
        <v>51.4</v>
      </c>
      <c r="D13" s="2">
        <f>B6-C13</f>
        <v>128.6</v>
      </c>
      <c r="E13" s="2">
        <f>B7-C13</f>
        <v>148.6</v>
      </c>
      <c r="F13" s="6">
        <v>354</v>
      </c>
      <c r="G13" s="81">
        <f t="shared" si="1"/>
        <v>45524.4</v>
      </c>
      <c r="H13" s="82">
        <f t="shared" si="2"/>
        <v>52604.4</v>
      </c>
      <c r="I13" s="6">
        <v>352</v>
      </c>
      <c r="J13" s="81">
        <f t="shared" si="3"/>
        <v>45267.199999999997</v>
      </c>
      <c r="K13" s="82">
        <f t="shared" si="4"/>
        <v>52307.199999999997</v>
      </c>
    </row>
    <row r="14" spans="1:11">
      <c r="A14" s="3">
        <v>39172</v>
      </c>
      <c r="B14" s="2">
        <v>51.58</v>
      </c>
      <c r="C14" s="2">
        <f t="shared" si="0"/>
        <v>48.58</v>
      </c>
      <c r="D14" s="2">
        <f>B6-C14</f>
        <v>131.42000000000002</v>
      </c>
      <c r="E14" s="2">
        <f>B7-C14</f>
        <v>151.42000000000002</v>
      </c>
      <c r="F14" s="6">
        <v>346</v>
      </c>
      <c r="G14" s="81">
        <f t="shared" si="1"/>
        <v>45471.320000000007</v>
      </c>
      <c r="H14" s="82">
        <f t="shared" si="2"/>
        <v>52391.320000000007</v>
      </c>
      <c r="I14" s="6">
        <v>340</v>
      </c>
      <c r="J14" s="81">
        <f t="shared" si="3"/>
        <v>44682.8</v>
      </c>
      <c r="K14" s="82">
        <f t="shared" si="4"/>
        <v>51482.8</v>
      </c>
    </row>
    <row r="15" spans="1:11">
      <c r="A15" s="3">
        <v>39202</v>
      </c>
      <c r="B15" s="2">
        <v>56.83</v>
      </c>
      <c r="C15" s="2">
        <f t="shared" si="0"/>
        <v>53.83</v>
      </c>
      <c r="D15" s="2">
        <f>B6-C15</f>
        <v>126.17</v>
      </c>
      <c r="E15" s="2">
        <f>B7-C15</f>
        <v>146.17000000000002</v>
      </c>
      <c r="F15" s="6">
        <v>348</v>
      </c>
      <c r="G15" s="81">
        <f t="shared" si="1"/>
        <v>43907.16</v>
      </c>
      <c r="H15" s="82">
        <f t="shared" si="2"/>
        <v>50867.16</v>
      </c>
      <c r="I15" s="6">
        <v>348</v>
      </c>
      <c r="J15" s="81">
        <f t="shared" si="3"/>
        <v>43907.16</v>
      </c>
      <c r="K15" s="82">
        <f t="shared" si="4"/>
        <v>50867.16</v>
      </c>
    </row>
    <row r="16" spans="1:11">
      <c r="A16" s="3">
        <v>39233</v>
      </c>
      <c r="B16" s="2">
        <v>52.3</v>
      </c>
      <c r="C16" s="2">
        <f t="shared" si="0"/>
        <v>49.3</v>
      </c>
      <c r="D16" s="2">
        <f>B6-C16</f>
        <v>130.69999999999999</v>
      </c>
      <c r="E16" s="2">
        <f>B7-C16</f>
        <v>150.69999999999999</v>
      </c>
      <c r="F16" s="6">
        <v>340</v>
      </c>
      <c r="G16" s="81">
        <f t="shared" si="1"/>
        <v>44437.999999999993</v>
      </c>
      <c r="H16" s="82">
        <f t="shared" si="2"/>
        <v>51237.999999999993</v>
      </c>
      <c r="I16" s="6">
        <v>337</v>
      </c>
      <c r="J16" s="81">
        <f t="shared" si="3"/>
        <v>44045.899999999994</v>
      </c>
      <c r="K16" s="82">
        <f t="shared" si="4"/>
        <v>50785.899999999994</v>
      </c>
    </row>
    <row r="17" spans="1:11">
      <c r="A17" s="3">
        <v>39263</v>
      </c>
      <c r="B17" s="2">
        <v>46.4</v>
      </c>
      <c r="C17" s="2">
        <f t="shared" si="0"/>
        <v>43.4</v>
      </c>
      <c r="D17" s="2">
        <f>B6-C17</f>
        <v>136.6</v>
      </c>
      <c r="E17" s="2">
        <f>B7-C17</f>
        <v>156.6</v>
      </c>
      <c r="F17" s="6">
        <v>352</v>
      </c>
      <c r="G17" s="81">
        <f t="shared" si="1"/>
        <v>48083.199999999997</v>
      </c>
      <c r="H17" s="82">
        <f t="shared" si="2"/>
        <v>55123.199999999997</v>
      </c>
      <c r="I17" s="6">
        <v>351</v>
      </c>
      <c r="J17" s="81">
        <f t="shared" si="3"/>
        <v>47946.6</v>
      </c>
      <c r="K17" s="82">
        <f t="shared" si="4"/>
        <v>54966.6</v>
      </c>
    </row>
    <row r="18" spans="1:11">
      <c r="A18" s="3">
        <v>39294</v>
      </c>
      <c r="B18" s="2">
        <v>48.57</v>
      </c>
      <c r="C18" s="2">
        <f t="shared" si="0"/>
        <v>45.57</v>
      </c>
      <c r="D18" s="2">
        <f>B6-C18</f>
        <v>134.43</v>
      </c>
      <c r="E18" s="2">
        <f>B7-C18</f>
        <v>154.43</v>
      </c>
      <c r="F18" s="6">
        <v>352</v>
      </c>
      <c r="G18" s="81">
        <f t="shared" si="1"/>
        <v>47319.360000000001</v>
      </c>
      <c r="H18" s="82">
        <f t="shared" si="2"/>
        <v>54359.360000000001</v>
      </c>
      <c r="I18" s="6">
        <v>349</v>
      </c>
      <c r="J18" s="81">
        <f t="shared" si="3"/>
        <v>46916.07</v>
      </c>
      <c r="K18" s="82">
        <f t="shared" si="4"/>
        <v>53896.07</v>
      </c>
    </row>
    <row r="19" spans="1:11">
      <c r="A19" s="3">
        <v>39325</v>
      </c>
      <c r="B19" s="2">
        <v>52.64</v>
      </c>
      <c r="C19" s="2">
        <f t="shared" si="0"/>
        <v>49.64</v>
      </c>
      <c r="D19" s="2">
        <f>B6-C19</f>
        <v>130.36000000000001</v>
      </c>
      <c r="E19" s="2">
        <f>B7-C19</f>
        <v>150.36000000000001</v>
      </c>
      <c r="F19" s="6">
        <v>347</v>
      </c>
      <c r="G19" s="81">
        <f t="shared" si="1"/>
        <v>45234.920000000006</v>
      </c>
      <c r="H19" s="82">
        <f t="shared" si="2"/>
        <v>52174.920000000006</v>
      </c>
      <c r="I19" s="6">
        <v>341</v>
      </c>
      <c r="J19" s="81">
        <f t="shared" si="3"/>
        <v>44452.76</v>
      </c>
      <c r="K19" s="82">
        <f t="shared" si="4"/>
        <v>51272.76</v>
      </c>
    </row>
    <row r="20" spans="1:11">
      <c r="A20" s="3">
        <v>39355</v>
      </c>
      <c r="B20" s="2">
        <v>51.68</v>
      </c>
      <c r="C20" s="2">
        <f t="shared" si="0"/>
        <v>48.68</v>
      </c>
      <c r="D20" s="2">
        <f>B6-C20</f>
        <v>131.32</v>
      </c>
      <c r="E20" s="2">
        <f>B7-C20</f>
        <v>151.32</v>
      </c>
      <c r="F20" s="6">
        <v>351</v>
      </c>
      <c r="G20" s="81">
        <f t="shared" si="1"/>
        <v>46093.32</v>
      </c>
      <c r="H20" s="82">
        <f t="shared" si="2"/>
        <v>53113.32</v>
      </c>
      <c r="I20" s="6">
        <v>350</v>
      </c>
      <c r="J20" s="81">
        <f t="shared" si="3"/>
        <v>45962</v>
      </c>
      <c r="K20" s="82">
        <f t="shared" si="4"/>
        <v>52962</v>
      </c>
    </row>
    <row r="21" spans="1:11">
      <c r="A21" s="3">
        <v>39386</v>
      </c>
      <c r="B21" s="2">
        <v>55.36</v>
      </c>
      <c r="C21" s="2">
        <f t="shared" si="0"/>
        <v>52.36</v>
      </c>
      <c r="D21" s="2">
        <f>B6-C21</f>
        <v>127.64</v>
      </c>
      <c r="E21" s="2">
        <f>B7-C21</f>
        <v>147.63999999999999</v>
      </c>
      <c r="F21" s="6">
        <v>339</v>
      </c>
      <c r="G21" s="81">
        <f t="shared" si="1"/>
        <v>43269.96</v>
      </c>
      <c r="H21" s="82">
        <f t="shared" si="2"/>
        <v>50049.959999999992</v>
      </c>
      <c r="I21" s="6">
        <v>339</v>
      </c>
      <c r="J21" s="81">
        <f t="shared" si="3"/>
        <v>43269.96</v>
      </c>
      <c r="K21" s="82">
        <f t="shared" si="4"/>
        <v>50049.959999999992</v>
      </c>
    </row>
    <row r="22" spans="1:11">
      <c r="A22" s="3">
        <v>39416</v>
      </c>
      <c r="B22" s="2">
        <v>42.9</v>
      </c>
      <c r="C22" s="2">
        <f t="shared" si="0"/>
        <v>39.9</v>
      </c>
      <c r="D22" s="2">
        <f>B6-C22</f>
        <v>140.1</v>
      </c>
      <c r="E22" s="2">
        <f>B7-C22</f>
        <v>160.1</v>
      </c>
      <c r="F22" s="6">
        <v>345</v>
      </c>
      <c r="G22" s="81">
        <f t="shared" si="1"/>
        <v>48334.5</v>
      </c>
      <c r="H22" s="82">
        <f t="shared" si="2"/>
        <v>55234.5</v>
      </c>
      <c r="I22" s="6">
        <v>344</v>
      </c>
      <c r="J22" s="81">
        <f t="shared" si="3"/>
        <v>48194.400000000001</v>
      </c>
      <c r="K22" s="82">
        <f t="shared" si="4"/>
        <v>55074.400000000001</v>
      </c>
    </row>
    <row r="23" spans="1:11" ht="14" customHeight="1">
      <c r="A23" s="3" t="s">
        <v>63</v>
      </c>
      <c r="B23" s="2"/>
      <c r="C23" s="2"/>
      <c r="D23" s="2"/>
      <c r="E23" s="2"/>
      <c r="F23" s="6"/>
      <c r="G23" s="27"/>
      <c r="H23" s="58"/>
      <c r="I23" s="6"/>
      <c r="J23" s="27"/>
      <c r="K23" s="58"/>
    </row>
    <row r="24" spans="1:11" ht="26" customHeight="1" thickBot="1">
      <c r="B24" s="102"/>
      <c r="C24" s="102"/>
      <c r="D24" s="102"/>
      <c r="E24" s="106" t="s">
        <v>72</v>
      </c>
      <c r="F24" s="103">
        <f>SUM(F11:F22)</f>
        <v>4139</v>
      </c>
      <c r="G24" s="104">
        <f t="shared" ref="G24:K24" si="5">SUM(G11:G22)</f>
        <v>545803.28</v>
      </c>
      <c r="H24" s="105">
        <f t="shared" si="5"/>
        <v>628583.28</v>
      </c>
      <c r="I24" s="103">
        <f t="shared" si="5"/>
        <v>4113</v>
      </c>
      <c r="J24" s="104">
        <f t="shared" si="5"/>
        <v>542375.56999999995</v>
      </c>
      <c r="K24" s="105">
        <f t="shared" si="5"/>
        <v>624635.56999999995</v>
      </c>
    </row>
    <row r="25" spans="1:11" ht="14" thickTop="1"/>
    <row r="26" spans="1:11" ht="41">
      <c r="A26" s="20" t="s">
        <v>116</v>
      </c>
      <c r="B26" s="101" t="s">
        <v>42</v>
      </c>
      <c r="C26" s="100" t="s">
        <v>43</v>
      </c>
    </row>
    <row r="27" spans="1:11" ht="14" thickBot="1">
      <c r="A27" s="95" t="s">
        <v>32</v>
      </c>
      <c r="B27" s="75">
        <f>J24</f>
        <v>542375.56999999995</v>
      </c>
      <c r="C27" s="75">
        <f>K24</f>
        <v>624635.56999999995</v>
      </c>
    </row>
    <row r="28" spans="1:11" ht="15" thickTop="1" thickBot="1">
      <c r="A28" s="95" t="s">
        <v>31</v>
      </c>
      <c r="B28" s="75">
        <f>G24</f>
        <v>545803.28</v>
      </c>
      <c r="C28" s="76">
        <f>H24</f>
        <v>628583.28</v>
      </c>
    </row>
    <row r="29" spans="1:11">
      <c r="B29" s="99"/>
    </row>
  </sheetData>
  <mergeCells count="4">
    <mergeCell ref="F9:H9"/>
    <mergeCell ref="I9:K9"/>
    <mergeCell ref="H1:K7"/>
    <mergeCell ref="B9:E9"/>
  </mergeCells>
  <phoneticPr fontId="8" type="noConversion"/>
  <pageMargins left="0.75000000000000011" right="0.75000000000000011" top="1" bottom="1" header="0.5" footer="0.5"/>
  <pageSetup scale="70" orientation="landscape" horizontalDpi="4294967292" verticalDpi="4294967292"/>
  <headerFooter>
    <oddHeader>&amp;L&amp;"Verdana,Fett"&amp;12Marktpräme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7"/>
  <sheetViews>
    <sheetView view="pageLayout" zoomScale="125" workbookViewId="0">
      <selection sqref="A1:F6"/>
    </sheetView>
  </sheetViews>
  <sheetFormatPr baseColWidth="10" defaultColWidth="11" defaultRowHeight="13"/>
  <cols>
    <col min="2" max="2" width="18.140625" customWidth="1"/>
  </cols>
  <sheetData>
    <row r="1" spans="1:6">
      <c r="A1" s="21" t="s">
        <v>56</v>
      </c>
      <c r="B1" s="22"/>
      <c r="C1" s="22">
        <v>2012</v>
      </c>
      <c r="D1" s="22">
        <v>2013</v>
      </c>
      <c r="E1" s="22">
        <v>2014</v>
      </c>
      <c r="F1" s="23">
        <v>2015</v>
      </c>
    </row>
    <row r="2" spans="1:6">
      <c r="A2" s="24" t="s">
        <v>57</v>
      </c>
      <c r="B2" s="25"/>
      <c r="C2" s="25">
        <v>0.3</v>
      </c>
      <c r="D2" s="25">
        <v>0.27500000000000002</v>
      </c>
      <c r="E2" s="25">
        <v>0.25</v>
      </c>
      <c r="F2" s="26">
        <v>0.22500000000000001</v>
      </c>
    </row>
    <row r="3" spans="1:6" ht="24" customHeight="1">
      <c r="A3" s="122" t="s">
        <v>73</v>
      </c>
      <c r="B3" s="123" t="s">
        <v>74</v>
      </c>
      <c r="C3" s="183" t="s">
        <v>75</v>
      </c>
      <c r="D3" s="183"/>
      <c r="E3" s="183"/>
      <c r="F3" s="184"/>
    </row>
    <row r="4" spans="1:6" ht="14" thickBot="1">
      <c r="A4" s="28" t="s">
        <v>121</v>
      </c>
      <c r="B4" s="117">
        <f>Marktprämie!I24</f>
        <v>4113</v>
      </c>
      <c r="C4" s="75">
        <f>(B4*3)</f>
        <v>12339</v>
      </c>
      <c r="D4" s="119">
        <f>(B4*2.75)</f>
        <v>11310.75</v>
      </c>
      <c r="E4" s="119">
        <f>(B4*2.5)</f>
        <v>10282.5</v>
      </c>
      <c r="F4" s="119">
        <f>(B4*2.25)</f>
        <v>9254.25</v>
      </c>
    </row>
    <row r="5" spans="1:6" ht="14" thickTop="1">
      <c r="A5" s="29"/>
      <c r="B5" s="30"/>
      <c r="C5" s="118"/>
      <c r="D5" s="120"/>
      <c r="E5" s="120"/>
      <c r="F5" s="121"/>
    </row>
    <row r="6" spans="1:6" ht="14" thickBot="1">
      <c r="A6" s="28" t="s">
        <v>122</v>
      </c>
      <c r="B6" s="117">
        <f>Marktprämie!F24</f>
        <v>4139</v>
      </c>
      <c r="C6" s="75">
        <f>(B6*3)</f>
        <v>12417</v>
      </c>
      <c r="D6" s="119">
        <f>(B6*2.75)</f>
        <v>11382.25</v>
      </c>
      <c r="E6" s="119">
        <f>(B6*2.5)</f>
        <v>10347.5</v>
      </c>
      <c r="F6" s="119">
        <f>(B6*2.25)</f>
        <v>9312.75</v>
      </c>
    </row>
    <row r="7" spans="1:6" ht="14" thickTop="1"/>
  </sheetData>
  <mergeCells count="1">
    <mergeCell ref="C3:F3"/>
  </mergeCells>
  <phoneticPr fontId="8" type="noConversion"/>
  <pageMargins left="0.75" right="0.75" top="1" bottom="1" header="0.5" footer="0.5"/>
  <pageSetup orientation="landscape" horizontalDpi="4294967292" verticalDpi="4294967292"/>
  <headerFooter>
    <oddHeader>&amp;L&amp;"Verdana,Fett"&amp;12Managementprämie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1"/>
  <sheetViews>
    <sheetView view="pageLayout" topLeftCell="A4" workbookViewId="0">
      <selection sqref="A1:I25"/>
    </sheetView>
  </sheetViews>
  <sheetFormatPr baseColWidth="10" defaultColWidth="11" defaultRowHeight="13"/>
  <cols>
    <col min="1" max="1" width="14" customWidth="1"/>
    <col min="2" max="2" width="31.85546875" customWidth="1"/>
    <col min="4" max="4" width="12.85546875" customWidth="1"/>
    <col min="6" max="6" width="13.5703125" customWidth="1"/>
    <col min="9" max="9" width="3.42578125" customWidth="1"/>
  </cols>
  <sheetData>
    <row r="1" spans="1:9">
      <c r="A1" s="190"/>
      <c r="B1" s="191"/>
      <c r="C1" s="191"/>
      <c r="D1" s="192"/>
      <c r="E1" s="44" t="s">
        <v>117</v>
      </c>
      <c r="F1" s="45"/>
      <c r="G1" s="46"/>
      <c r="H1" s="46"/>
      <c r="I1" s="47"/>
    </row>
    <row r="2" spans="1:9" ht="51" customHeight="1">
      <c r="A2" s="187" t="s">
        <v>60</v>
      </c>
      <c r="B2" s="188"/>
      <c r="C2" s="188"/>
      <c r="D2" s="189"/>
      <c r="E2" s="31" t="s">
        <v>58</v>
      </c>
      <c r="F2" s="185" t="s">
        <v>118</v>
      </c>
      <c r="G2" s="185"/>
      <c r="H2" s="185"/>
      <c r="I2" s="186"/>
    </row>
    <row r="3" spans="1:9" ht="17">
      <c r="A3" s="48"/>
      <c r="B3" s="42"/>
      <c r="C3" s="42"/>
      <c r="D3" s="41"/>
      <c r="E3" s="31" t="s">
        <v>59</v>
      </c>
      <c r="F3" s="34" t="s">
        <v>114</v>
      </c>
      <c r="G3" s="34"/>
      <c r="H3" s="34"/>
      <c r="I3" s="49"/>
    </row>
    <row r="4" spans="1:9" ht="17">
      <c r="A4" s="48"/>
      <c r="B4" s="41"/>
      <c r="C4" s="41"/>
      <c r="D4" s="41"/>
      <c r="E4" s="31" t="s">
        <v>106</v>
      </c>
      <c r="F4" s="34" t="s">
        <v>2</v>
      </c>
      <c r="G4" s="34"/>
      <c r="H4" s="34"/>
      <c r="I4" s="49"/>
    </row>
    <row r="5" spans="1:9" ht="17">
      <c r="A5" s="48"/>
      <c r="B5" s="41"/>
      <c r="C5" s="41"/>
      <c r="D5" s="41"/>
      <c r="E5" s="31" t="s">
        <v>107</v>
      </c>
      <c r="F5" s="34" t="s">
        <v>3</v>
      </c>
      <c r="G5" s="34"/>
      <c r="H5" s="34"/>
      <c r="I5" s="49"/>
    </row>
    <row r="6" spans="1:9" ht="15">
      <c r="A6" s="48"/>
      <c r="B6" s="41"/>
      <c r="C6" s="41"/>
      <c r="D6" s="41"/>
      <c r="E6" s="31" t="s">
        <v>108</v>
      </c>
      <c r="F6" s="35" t="s">
        <v>4</v>
      </c>
      <c r="G6" s="35"/>
      <c r="H6" s="36"/>
      <c r="I6" s="50"/>
    </row>
    <row r="7" spans="1:9" ht="17">
      <c r="A7" s="48"/>
      <c r="B7" s="41"/>
      <c r="C7" s="41"/>
      <c r="D7" s="41"/>
      <c r="E7" s="31" t="s">
        <v>109</v>
      </c>
      <c r="F7" s="35" t="s">
        <v>110</v>
      </c>
      <c r="G7" s="35"/>
      <c r="H7" s="36"/>
      <c r="I7" s="50"/>
    </row>
    <row r="8" spans="1:9">
      <c r="A8" s="48"/>
      <c r="B8" s="41"/>
      <c r="C8" s="41"/>
      <c r="D8" s="41"/>
      <c r="E8" s="37"/>
      <c r="F8" s="38"/>
      <c r="G8" s="36"/>
      <c r="H8" s="36"/>
      <c r="I8" s="50"/>
    </row>
    <row r="9" spans="1:9">
      <c r="A9" s="48"/>
      <c r="B9" s="41"/>
      <c r="C9" s="41"/>
      <c r="D9" s="41"/>
      <c r="E9" s="32" t="s">
        <v>111</v>
      </c>
      <c r="F9" s="36"/>
      <c r="G9" s="36"/>
      <c r="H9" s="36"/>
      <c r="I9" s="50"/>
    </row>
    <row r="10" spans="1:9" ht="15">
      <c r="A10" s="48"/>
      <c r="B10" s="41"/>
      <c r="C10" s="41"/>
      <c r="D10" s="41"/>
      <c r="E10" s="31" t="s">
        <v>112</v>
      </c>
      <c r="F10" s="38"/>
      <c r="G10" s="36"/>
      <c r="H10" s="36"/>
      <c r="I10" s="50"/>
    </row>
    <row r="11" spans="1:9" ht="17">
      <c r="A11" s="48"/>
      <c r="B11" s="41"/>
      <c r="C11" s="41"/>
      <c r="D11" s="41"/>
      <c r="E11" s="33" t="s">
        <v>76</v>
      </c>
      <c r="F11" s="39"/>
      <c r="G11" s="40"/>
      <c r="H11" s="40"/>
      <c r="I11" s="51"/>
    </row>
    <row r="12" spans="1:9" ht="14" thickBot="1">
      <c r="A12" s="52"/>
      <c r="B12" s="43"/>
      <c r="C12" s="43"/>
      <c r="D12" s="43" t="s">
        <v>61</v>
      </c>
      <c r="E12" s="43"/>
      <c r="F12" s="43"/>
      <c r="G12" s="43"/>
      <c r="H12" s="43"/>
      <c r="I12" s="53"/>
    </row>
    <row r="13" spans="1:9" ht="27" customHeight="1">
      <c r="A13" s="54"/>
      <c r="B13" s="54"/>
      <c r="C13" s="54"/>
      <c r="D13" s="54"/>
      <c r="E13" s="54"/>
      <c r="F13" s="54"/>
      <c r="G13" s="54"/>
      <c r="H13" s="54"/>
      <c r="I13" s="54"/>
    </row>
    <row r="14" spans="1:9" ht="29" customHeight="1">
      <c r="A14" s="55" t="s">
        <v>18</v>
      </c>
      <c r="B14" s="56" t="s">
        <v>19</v>
      </c>
      <c r="C14" s="56" t="s">
        <v>20</v>
      </c>
      <c r="D14" s="56" t="s">
        <v>21</v>
      </c>
      <c r="E14" s="57" t="s">
        <v>22</v>
      </c>
    </row>
    <row r="15" spans="1:9" ht="15">
      <c r="A15" s="6" t="s">
        <v>23</v>
      </c>
      <c r="B15" s="30" t="s">
        <v>88</v>
      </c>
      <c r="C15" s="30" t="s">
        <v>89</v>
      </c>
      <c r="D15" s="27">
        <v>750</v>
      </c>
      <c r="E15" s="58">
        <v>1000</v>
      </c>
    </row>
    <row r="16" spans="1:9">
      <c r="A16" s="6"/>
      <c r="B16" s="30" t="s">
        <v>90</v>
      </c>
      <c r="C16" s="30" t="s">
        <v>91</v>
      </c>
      <c r="D16" s="27">
        <v>5484</v>
      </c>
      <c r="E16" s="58">
        <v>4139</v>
      </c>
    </row>
    <row r="17" spans="1:5" ht="15">
      <c r="A17" s="6" t="s">
        <v>24</v>
      </c>
      <c r="B17" s="59" t="s">
        <v>41</v>
      </c>
      <c r="C17" s="30" t="s">
        <v>92</v>
      </c>
      <c r="D17" s="60">
        <f>D15*D16/8760</f>
        <v>469.52054794520546</v>
      </c>
      <c r="E17" s="61">
        <f>E15*E16/8760</f>
        <v>472.48858447488584</v>
      </c>
    </row>
    <row r="18" spans="1:5" ht="15">
      <c r="A18" s="6" t="s">
        <v>25</v>
      </c>
      <c r="B18" s="30" t="s">
        <v>96</v>
      </c>
      <c r="C18" s="30" t="s">
        <v>123</v>
      </c>
      <c r="D18" s="62">
        <v>1.1000000000000001</v>
      </c>
      <c r="E18" s="63">
        <v>1.1000000000000001</v>
      </c>
    </row>
    <row r="19" spans="1:5" ht="27">
      <c r="A19" s="6" t="s">
        <v>26</v>
      </c>
      <c r="B19" s="59" t="s">
        <v>97</v>
      </c>
      <c r="C19" s="30" t="s">
        <v>124</v>
      </c>
      <c r="D19" s="60">
        <f>D15-(D18*D17)</f>
        <v>233.52739726027391</v>
      </c>
      <c r="E19" s="82">
        <f>E15-(E18*E17)</f>
        <v>480.2625570776255</v>
      </c>
    </row>
    <row r="20" spans="1:5">
      <c r="A20" s="6" t="s">
        <v>125</v>
      </c>
      <c r="B20" s="30" t="s">
        <v>65</v>
      </c>
      <c r="C20" s="30" t="s">
        <v>66</v>
      </c>
      <c r="D20" s="60">
        <v>130</v>
      </c>
      <c r="E20" s="61">
        <v>130</v>
      </c>
    </row>
    <row r="21" spans="1:5">
      <c r="A21" s="6" t="s">
        <v>77</v>
      </c>
      <c r="B21" s="30" t="s">
        <v>67</v>
      </c>
      <c r="C21" s="30" t="s">
        <v>68</v>
      </c>
      <c r="D21" s="64">
        <f>D19*D20*100/(D17*8760)</f>
        <v>0.7381123667356092</v>
      </c>
      <c r="E21" s="65">
        <f>E19*E20*100/(E17*8760)</f>
        <v>1.5084351877287101</v>
      </c>
    </row>
    <row r="22" spans="1:5" ht="27" customHeight="1">
      <c r="A22" s="66" t="s">
        <v>69</v>
      </c>
      <c r="B22" s="30" t="s">
        <v>27</v>
      </c>
      <c r="C22" s="30" t="s">
        <v>70</v>
      </c>
      <c r="D22" s="60">
        <v>500</v>
      </c>
      <c r="E22" s="67">
        <v>500</v>
      </c>
    </row>
    <row r="23" spans="1:5" ht="26">
      <c r="A23" s="68" t="s">
        <v>54</v>
      </c>
      <c r="B23" s="59" t="s">
        <v>50</v>
      </c>
      <c r="C23" s="30" t="s">
        <v>91</v>
      </c>
      <c r="D23" s="82">
        <f>E16*2</f>
        <v>8278</v>
      </c>
      <c r="E23" s="67">
        <f>E16*2</f>
        <v>8278</v>
      </c>
    </row>
    <row r="24" spans="1:5" ht="26">
      <c r="A24" s="70" t="s">
        <v>28</v>
      </c>
      <c r="B24" s="71" t="s">
        <v>99</v>
      </c>
      <c r="C24" s="72" t="s">
        <v>93</v>
      </c>
      <c r="D24" s="73">
        <f>D21*(D22*D23)/100</f>
        <v>30550.470859186862</v>
      </c>
      <c r="E24" s="74">
        <f>E21*(E22*E23)/100</f>
        <v>62434.132420091315</v>
      </c>
    </row>
    <row r="25" spans="1:5">
      <c r="D25" s="1"/>
      <c r="E25" s="1"/>
    </row>
    <row r="26" spans="1:5">
      <c r="D26" s="1"/>
      <c r="E26" s="1"/>
    </row>
    <row r="27" spans="1:5">
      <c r="E27" s="1"/>
    </row>
    <row r="28" spans="1:5"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</sheetData>
  <mergeCells count="3">
    <mergeCell ref="F2:I2"/>
    <mergeCell ref="A2:D2"/>
    <mergeCell ref="A1:D1"/>
  </mergeCells>
  <phoneticPr fontId="8" type="noConversion"/>
  <pageMargins left="0.75000000000000011" right="0.75000000000000011" top="1" bottom="1" header="0.5" footer="0.5"/>
  <pageSetup scale="60" orientation="landscape" horizontalDpi="4294967292" verticalDpi="4294967292"/>
  <headerFooter>
    <oddHeader>&amp;L&amp;"Verdana,Fett"&amp;12Flexibilitätsprämie</oddHead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4"/>
  <sheetViews>
    <sheetView view="pageLayout" workbookViewId="0">
      <selection sqref="A1:E4"/>
    </sheetView>
  </sheetViews>
  <sheetFormatPr baseColWidth="10" defaultColWidth="11" defaultRowHeight="13"/>
  <cols>
    <col min="1" max="1" width="17" customWidth="1"/>
    <col min="2" max="2" width="18" customWidth="1"/>
    <col min="3" max="3" width="16.85546875" customWidth="1"/>
    <col min="4" max="4" width="17.7109375" customWidth="1"/>
  </cols>
  <sheetData>
    <row r="1" spans="1:5" ht="45" customHeight="1">
      <c r="A1" s="4" t="s">
        <v>120</v>
      </c>
      <c r="B1" s="5" t="s">
        <v>79</v>
      </c>
      <c r="C1" s="5" t="s">
        <v>29</v>
      </c>
      <c r="D1" s="5" t="s">
        <v>78</v>
      </c>
      <c r="E1" s="93" t="s">
        <v>30</v>
      </c>
    </row>
    <row r="2" spans="1:5" ht="14" thickBot="1">
      <c r="A2" s="6" t="s">
        <v>94</v>
      </c>
      <c r="B2" s="90">
        <v>234516</v>
      </c>
      <c r="C2" s="90">
        <f>Marktprämie!I24</f>
        <v>4113</v>
      </c>
      <c r="D2" s="90">
        <f>1.5*C2</f>
        <v>6169.5</v>
      </c>
      <c r="E2" s="91">
        <f>B2-D2</f>
        <v>228346.5</v>
      </c>
    </row>
    <row r="3" spans="1:5" ht="15" thickTop="1" thickBot="1">
      <c r="A3" s="7" t="s">
        <v>119</v>
      </c>
      <c r="B3" s="92">
        <v>246648</v>
      </c>
      <c r="C3" s="92">
        <f>Marktprämie!F24</f>
        <v>4139</v>
      </c>
      <c r="D3" s="92">
        <f>1.5*C3</f>
        <v>6208.5</v>
      </c>
      <c r="E3" s="94">
        <f>B3-D3</f>
        <v>240439.5</v>
      </c>
    </row>
    <row r="4" spans="1:5" ht="14" thickTop="1">
      <c r="A4" s="89" t="s">
        <v>62</v>
      </c>
    </row>
  </sheetData>
  <phoneticPr fontId="8" type="noConversion"/>
  <pageMargins left="0.75000000000000011" right="0.75000000000000011" top="1" bottom="1" header="0.5" footer="0.5"/>
  <pageSetup orientation="landscape" horizontalDpi="4294967292" verticalDpi="4294967292"/>
  <headerFooter>
    <oddHeader>&amp;L&amp;"Verdana,Fett"&amp;12Revenues Spot Market Sales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Overview</vt:lpstr>
      <vt:lpstr>Revenues Marktprämienmdell</vt:lpstr>
      <vt:lpstr>Marktprämie</vt:lpstr>
      <vt:lpstr>ManagementPrämie</vt:lpstr>
      <vt:lpstr>Flexibilitätsprämie</vt:lpstr>
      <vt:lpstr>Spot Market Sales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graf</dc:creator>
  <cp:lastModifiedBy>jakob graf</cp:lastModifiedBy>
  <cp:lastPrinted>2012-04-27T06:49:12Z</cp:lastPrinted>
  <dcterms:created xsi:type="dcterms:W3CDTF">2012-04-17T09:00:40Z</dcterms:created>
  <dcterms:modified xsi:type="dcterms:W3CDTF">2012-05-30T16:44:55Z</dcterms:modified>
</cp:coreProperties>
</file>