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 tabRatio="813"/>
  </bookViews>
  <sheets>
    <sheet name="WACC-ICGR" sheetId="7" r:id="rId1"/>
    <sheet name="Udlån" sheetId="3" r:id="rId2"/>
    <sheet name="NY Resultatopgørelse" sheetId="4" r:id="rId3"/>
    <sheet name="NY WACC-ICGR" sheetId="8" r:id="rId4"/>
    <sheet name="Bilforsikring" sheetId="1" r:id="rId5"/>
    <sheet name="Projektplan&amp;budget" sheetId="9" r:id="rId6"/>
    <sheet name="Indtjening Forsikring" sheetId="2" r:id="rId7"/>
    <sheet name="Grafter udlån" sheetId="6" r:id="rId8"/>
    <sheet name="Fundingstruktur" sheetId="5" r:id="rId9"/>
  </sheets>
  <calcPr calcId="125725"/>
</workbook>
</file>

<file path=xl/calcChain.xml><?xml version="1.0" encoding="utf-8"?>
<calcChain xmlns="http://schemas.openxmlformats.org/spreadsheetml/2006/main">
  <c r="H10" i="2"/>
  <c r="B13" i="7"/>
  <c r="B16"/>
  <c r="B9" i="8"/>
  <c r="H2"/>
  <c r="Z12" i="9"/>
  <c r="Y12"/>
  <c r="X12"/>
  <c r="W12"/>
  <c r="V12"/>
  <c r="U12"/>
  <c r="T12"/>
  <c r="S12"/>
  <c r="R12"/>
  <c r="Q12"/>
  <c r="AA11"/>
  <c r="AA9"/>
  <c r="AA8"/>
  <c r="AA7"/>
  <c r="AA6"/>
  <c r="D14"/>
  <c r="C14"/>
  <c r="H10" i="8"/>
  <c r="I10"/>
  <c r="B5" i="7"/>
  <c r="B4"/>
  <c r="B3"/>
  <c r="B2"/>
  <c r="B9"/>
  <c r="B6"/>
  <c r="B6" i="3"/>
  <c r="I7" i="8"/>
  <c r="J7" s="1"/>
  <c r="K7" s="1"/>
  <c r="L7" s="1"/>
  <c r="M7" s="1"/>
  <c r="C32" i="4"/>
  <c r="D32"/>
  <c r="E32"/>
  <c r="F32"/>
  <c r="B32"/>
  <c r="L20"/>
  <c r="K13"/>
  <c r="L13"/>
  <c r="M13"/>
  <c r="N13"/>
  <c r="J13"/>
  <c r="J10"/>
  <c r="M10" i="8"/>
  <c r="L10"/>
  <c r="K10"/>
  <c r="J10"/>
  <c r="J14"/>
  <c r="H21"/>
  <c r="B15"/>
  <c r="C15" s="1"/>
  <c r="D4"/>
  <c r="D30" i="1"/>
  <c r="C28"/>
  <c r="B28"/>
  <c r="B25"/>
  <c r="C25"/>
  <c r="C26" s="1"/>
  <c r="B29"/>
  <c r="B23"/>
  <c r="C29"/>
  <c r="C27"/>
  <c r="B27"/>
  <c r="B26"/>
  <c r="G8" i="4"/>
  <c r="F8"/>
  <c r="E8"/>
  <c r="D14" i="2"/>
  <c r="C14"/>
  <c r="E14"/>
  <c r="F14"/>
  <c r="B14"/>
  <c r="F10"/>
  <c r="F11"/>
  <c r="D11"/>
  <c r="C8" i="4"/>
  <c r="D10" i="2"/>
  <c r="D8"/>
  <c r="F9"/>
  <c r="F4"/>
  <c r="F5"/>
  <c r="F6"/>
  <c r="F7"/>
  <c r="F3"/>
  <c r="D4"/>
  <c r="D5"/>
  <c r="D6"/>
  <c r="D7"/>
  <c r="D3"/>
  <c r="H21" i="7"/>
  <c r="B15"/>
  <c r="C15" s="1"/>
  <c r="Q6"/>
  <c r="H18"/>
  <c r="Q5"/>
  <c r="B14"/>
  <c r="D4"/>
  <c r="F21"/>
  <c r="D21" i="4"/>
  <c r="E21" s="1"/>
  <c r="F21" s="1"/>
  <c r="G21" s="1"/>
  <c r="D18"/>
  <c r="E18" s="1"/>
  <c r="F18" s="1"/>
  <c r="G18" s="1"/>
  <c r="C22"/>
  <c r="D22" s="1"/>
  <c r="E22" s="1"/>
  <c r="F22" s="1"/>
  <c r="G22" s="1"/>
  <c r="C21"/>
  <c r="C20"/>
  <c r="D20" s="1"/>
  <c r="E20" s="1"/>
  <c r="F20" s="1"/>
  <c r="G20" s="1"/>
  <c r="C18"/>
  <c r="C17"/>
  <c r="D17" s="1"/>
  <c r="E17" s="1"/>
  <c r="F17" s="1"/>
  <c r="G17" s="1"/>
  <c r="C15"/>
  <c r="D15" s="1"/>
  <c r="E15" s="1"/>
  <c r="F15" s="1"/>
  <c r="G15" s="1"/>
  <c r="C13"/>
  <c r="D13" s="1"/>
  <c r="E13" s="1"/>
  <c r="F13" s="1"/>
  <c r="G13" s="1"/>
  <c r="C12"/>
  <c r="D12" s="1"/>
  <c r="E12" s="1"/>
  <c r="F12" s="1"/>
  <c r="G12" s="1"/>
  <c r="C11"/>
  <c r="D11" s="1"/>
  <c r="E11" s="1"/>
  <c r="F11" s="1"/>
  <c r="G11" s="1"/>
  <c r="C9"/>
  <c r="D9" s="1"/>
  <c r="E9" s="1"/>
  <c r="F9" s="1"/>
  <c r="G9" s="1"/>
  <c r="C2"/>
  <c r="C4" s="1"/>
  <c r="C10" s="1"/>
  <c r="D3"/>
  <c r="E3" s="1"/>
  <c r="F3" s="1"/>
  <c r="G3" s="1"/>
  <c r="C3"/>
  <c r="D2"/>
  <c r="D4" s="1"/>
  <c r="B10"/>
  <c r="B23" s="1"/>
  <c r="B25" s="1"/>
  <c r="B28" s="1"/>
  <c r="B30" s="1"/>
  <c r="B31" s="1"/>
  <c r="B4"/>
  <c r="K9" i="3"/>
  <c r="K8"/>
  <c r="W20"/>
  <c r="X20"/>
  <c r="Y20"/>
  <c r="Z20"/>
  <c r="AA20"/>
  <c r="AB20"/>
  <c r="AC20"/>
  <c r="V20"/>
  <c r="L31"/>
  <c r="I11" i="6"/>
  <c r="I5"/>
  <c r="I15" s="1"/>
  <c r="I17" s="1"/>
  <c r="H11"/>
  <c r="H5"/>
  <c r="H15" s="1"/>
  <c r="H17" s="1"/>
  <c r="G11"/>
  <c r="G5"/>
  <c r="G15" s="1"/>
  <c r="G17" s="1"/>
  <c r="F11"/>
  <c r="F5"/>
  <c r="F15" s="1"/>
  <c r="F17" s="1"/>
  <c r="E11"/>
  <c r="E5"/>
  <c r="E15" s="1"/>
  <c r="E17" s="1"/>
  <c r="D11"/>
  <c r="D5"/>
  <c r="D15" s="1"/>
  <c r="D17" s="1"/>
  <c r="C17"/>
  <c r="C11"/>
  <c r="C15" s="1"/>
  <c r="B17"/>
  <c r="B11"/>
  <c r="B15" s="1"/>
  <c r="E2" i="4" l="1"/>
  <c r="AA12" i="9"/>
  <c r="Q15" s="1"/>
  <c r="U15" s="1"/>
  <c r="C14" i="4" s="1"/>
  <c r="C23" s="1"/>
  <c r="C16" i="7"/>
  <c r="D29" i="1"/>
  <c r="D26"/>
  <c r="D8" i="4"/>
  <c r="C13" i="7"/>
  <c r="B17"/>
  <c r="C17" s="1"/>
  <c r="E21"/>
  <c r="D21"/>
  <c r="G2" i="5"/>
  <c r="F2"/>
  <c r="M5"/>
  <c r="M4"/>
  <c r="L6"/>
  <c r="L5"/>
  <c r="M24"/>
  <c r="K5"/>
  <c r="J5"/>
  <c r="G5"/>
  <c r="I5"/>
  <c r="B14"/>
  <c r="B8"/>
  <c r="B18"/>
  <c r="C24" i="4" l="1"/>
  <c r="J11" s="1"/>
  <c r="J12" s="1"/>
  <c r="K10" s="1"/>
  <c r="D10"/>
  <c r="E4"/>
  <c r="E10" s="1"/>
  <c r="E23" s="1"/>
  <c r="E24" s="1"/>
  <c r="L11" s="1"/>
  <c r="F2"/>
  <c r="J14"/>
  <c r="B20" i="7"/>
  <c r="I21" s="1"/>
  <c r="E24" s="1"/>
  <c r="E25" i="4"/>
  <c r="K2" i="8" s="1"/>
  <c r="B18" i="7"/>
  <c r="D23" i="4" l="1"/>
  <c r="D24" s="1"/>
  <c r="C25"/>
  <c r="G2"/>
  <c r="G4" s="1"/>
  <c r="G10" s="1"/>
  <c r="G23" s="1"/>
  <c r="F4"/>
  <c r="F10" s="1"/>
  <c r="F23" s="1"/>
  <c r="E28"/>
  <c r="E30" s="1"/>
  <c r="E31" s="1"/>
  <c r="E28" i="3"/>
  <c r="C6"/>
  <c r="C7" s="1"/>
  <c r="D6"/>
  <c r="D7" s="1"/>
  <c r="E6"/>
  <c r="E7" s="1"/>
  <c r="F6"/>
  <c r="F7" s="1"/>
  <c r="G6"/>
  <c r="G7" s="1"/>
  <c r="H6"/>
  <c r="H7" s="1"/>
  <c r="I6"/>
  <c r="I7" s="1"/>
  <c r="B7"/>
  <c r="B13"/>
  <c r="C13"/>
  <c r="D13"/>
  <c r="E13"/>
  <c r="F13"/>
  <c r="G13"/>
  <c r="H13"/>
  <c r="I13"/>
  <c r="K11" i="4" l="1"/>
  <c r="K12" s="1"/>
  <c r="D25"/>
  <c r="D33"/>
  <c r="D34"/>
  <c r="I2" i="8"/>
  <c r="C28" i="4"/>
  <c r="C30" s="1"/>
  <c r="C31" s="1"/>
  <c r="G24"/>
  <c r="N11" s="1"/>
  <c r="D35"/>
  <c r="L33"/>
  <c r="L38" s="1"/>
  <c r="F24"/>
  <c r="M11" s="1"/>
  <c r="D46" i="3"/>
  <c r="O20"/>
  <c r="P20"/>
  <c r="Q20"/>
  <c r="R20"/>
  <c r="S20"/>
  <c r="N20"/>
  <c r="M33"/>
  <c r="N33"/>
  <c r="O33"/>
  <c r="P33"/>
  <c r="Q33"/>
  <c r="R33"/>
  <c r="S33"/>
  <c r="L33"/>
  <c r="O27"/>
  <c r="L27"/>
  <c r="P25"/>
  <c r="Q23"/>
  <c r="N23"/>
  <c r="R22"/>
  <c r="S22"/>
  <c r="O28"/>
  <c r="L29"/>
  <c r="M29"/>
  <c r="N29"/>
  <c r="O29"/>
  <c r="P29"/>
  <c r="Q29"/>
  <c r="R29"/>
  <c r="S29"/>
  <c r="L30"/>
  <c r="M30"/>
  <c r="N30"/>
  <c r="O30"/>
  <c r="P30"/>
  <c r="Q30"/>
  <c r="R30"/>
  <c r="S30"/>
  <c r="M31"/>
  <c r="N31"/>
  <c r="O31"/>
  <c r="P31"/>
  <c r="Q31"/>
  <c r="R31"/>
  <c r="S31"/>
  <c r="L23"/>
  <c r="M23"/>
  <c r="O23"/>
  <c r="P23"/>
  <c r="R23"/>
  <c r="S23"/>
  <c r="L24"/>
  <c r="M24"/>
  <c r="N24"/>
  <c r="O24"/>
  <c r="P24"/>
  <c r="Q24"/>
  <c r="L25"/>
  <c r="M25"/>
  <c r="N25"/>
  <c r="O25"/>
  <c r="Q25"/>
  <c r="R25"/>
  <c r="S25"/>
  <c r="L26"/>
  <c r="M26"/>
  <c r="M27"/>
  <c r="N27"/>
  <c r="P27"/>
  <c r="Q27"/>
  <c r="R27"/>
  <c r="S27"/>
  <c r="K14" i="4" l="1"/>
  <c r="L10"/>
  <c r="L12" s="1"/>
  <c r="B33"/>
  <c r="B34"/>
  <c r="D28"/>
  <c r="D30" s="1"/>
  <c r="D31" s="1"/>
  <c r="J2" i="8"/>
  <c r="F25" i="4"/>
  <c r="L2" i="8" s="1"/>
  <c r="G25" i="4"/>
  <c r="M2" i="8" s="1"/>
  <c r="B2" s="1"/>
  <c r="D41" i="3"/>
  <c r="D42"/>
  <c r="D43"/>
  <c r="D44"/>
  <c r="D47"/>
  <c r="D48"/>
  <c r="D50"/>
  <c r="D40"/>
  <c r="D37"/>
  <c r="B37"/>
  <c r="B41"/>
  <c r="C41" s="1"/>
  <c r="B43"/>
  <c r="C43" s="1"/>
  <c r="B28"/>
  <c r="L28" s="1"/>
  <c r="C28"/>
  <c r="M28" s="1"/>
  <c r="D28"/>
  <c r="N28" s="1"/>
  <c r="D22"/>
  <c r="N22" s="1"/>
  <c r="E22"/>
  <c r="G28"/>
  <c r="Q28" s="1"/>
  <c r="F28"/>
  <c r="P28" s="1"/>
  <c r="F22"/>
  <c r="P22" s="1"/>
  <c r="G22"/>
  <c r="I28"/>
  <c r="H28"/>
  <c r="C22"/>
  <c r="M22" s="1"/>
  <c r="B22"/>
  <c r="L22" s="1"/>
  <c r="C33" i="4" l="1"/>
  <c r="C34"/>
  <c r="B35"/>
  <c r="J33"/>
  <c r="L14"/>
  <c r="M10"/>
  <c r="M12" s="1"/>
  <c r="F28"/>
  <c r="F30" s="1"/>
  <c r="F31" s="1"/>
  <c r="D21" i="8"/>
  <c r="G28" i="4"/>
  <c r="G30" s="1"/>
  <c r="G31" s="1"/>
  <c r="B39" i="3"/>
  <c r="C39" s="1"/>
  <c r="H32"/>
  <c r="H34" s="1"/>
  <c r="R28"/>
  <c r="R32" s="1"/>
  <c r="R34" s="1"/>
  <c r="Q22"/>
  <c r="Q32" s="1"/>
  <c r="Q34" s="1"/>
  <c r="O22"/>
  <c r="O32" s="1"/>
  <c r="O34" s="1"/>
  <c r="I32"/>
  <c r="I34" s="1"/>
  <c r="S28"/>
  <c r="D45"/>
  <c r="D39"/>
  <c r="N32"/>
  <c r="N34" s="1"/>
  <c r="G32"/>
  <c r="G34" s="1"/>
  <c r="B40"/>
  <c r="C40" s="1"/>
  <c r="P32"/>
  <c r="P34" s="1"/>
  <c r="B42"/>
  <c r="C42" s="1"/>
  <c r="L32"/>
  <c r="L34" s="1"/>
  <c r="B48"/>
  <c r="C48" s="1"/>
  <c r="B46"/>
  <c r="C46" s="1"/>
  <c r="B44"/>
  <c r="C44" s="1"/>
  <c r="B50"/>
  <c r="C50" s="1"/>
  <c r="C32"/>
  <c r="C34" s="1"/>
  <c r="E32"/>
  <c r="E34" s="1"/>
  <c r="F32"/>
  <c r="F34" s="1"/>
  <c r="M32"/>
  <c r="M34" s="1"/>
  <c r="S32"/>
  <c r="B47"/>
  <c r="C47" s="1"/>
  <c r="D32"/>
  <c r="D34" s="1"/>
  <c r="B32"/>
  <c r="I5" i="8" l="1"/>
  <c r="I6"/>
  <c r="C35" i="4"/>
  <c r="K33"/>
  <c r="K38" s="1"/>
  <c r="F33"/>
  <c r="F34"/>
  <c r="E33"/>
  <c r="E34"/>
  <c r="G34" s="1"/>
  <c r="N10"/>
  <c r="N12" s="1"/>
  <c r="N14" s="1"/>
  <c r="M14"/>
  <c r="J38"/>
  <c r="J39" s="1"/>
  <c r="K37" s="1"/>
  <c r="K39" s="1"/>
  <c r="L37" s="1"/>
  <c r="L39" s="1"/>
  <c r="M37" s="1"/>
  <c r="J34"/>
  <c r="K32" s="1"/>
  <c r="K34" s="1"/>
  <c r="L32" s="1"/>
  <c r="L34" s="1"/>
  <c r="M32" s="1"/>
  <c r="F35"/>
  <c r="N33"/>
  <c r="N38" s="1"/>
  <c r="M33"/>
  <c r="E35"/>
  <c r="G33"/>
  <c r="B45" i="3"/>
  <c r="C45" s="1"/>
  <c r="B34"/>
  <c r="D51" s="1"/>
  <c r="D49"/>
  <c r="S34"/>
  <c r="B49"/>
  <c r="C49" s="1"/>
  <c r="J5" i="8" l="1"/>
  <c r="K5" s="1"/>
  <c r="M34" i="4"/>
  <c r="N32" s="1"/>
  <c r="N34" s="1"/>
  <c r="M38"/>
  <c r="M39" s="1"/>
  <c r="N37" s="1"/>
  <c r="N39" s="1"/>
  <c r="J6" i="8"/>
  <c r="K6" s="1"/>
  <c r="L6" s="1"/>
  <c r="L5"/>
  <c r="B51" i="3"/>
  <c r="C51" s="1"/>
  <c r="M5" i="8" l="1"/>
  <c r="B6" s="1"/>
  <c r="M6"/>
  <c r="B5" s="1"/>
  <c r="B14" l="1"/>
  <c r="B17" s="1"/>
  <c r="C17" s="1"/>
  <c r="F21"/>
  <c r="B13"/>
  <c r="E21"/>
  <c r="B20" s="1"/>
  <c r="I21" s="1"/>
  <c r="E24" s="1"/>
  <c r="B16" l="1"/>
  <c r="C13"/>
  <c r="C16" l="1"/>
  <c r="B18"/>
</calcChain>
</file>

<file path=xl/sharedStrings.xml><?xml version="1.0" encoding="utf-8"?>
<sst xmlns="http://schemas.openxmlformats.org/spreadsheetml/2006/main" count="516" uniqueCount="316">
  <si>
    <t>Solvensprocent</t>
  </si>
  <si>
    <t>Resultat før skat</t>
  </si>
  <si>
    <t>Egenkapital</t>
  </si>
  <si>
    <t>Udbytte</t>
  </si>
  <si>
    <t>Offentlige myndigheder</t>
  </si>
  <si>
    <t>Erhverv:</t>
  </si>
  <si>
    <t>Landbrug, Jagt og skovbrug</t>
  </si>
  <si>
    <t xml:space="preserve">Fiskeri </t>
  </si>
  <si>
    <t>Minkproduktion</t>
  </si>
  <si>
    <t>Industri og råstofudvinding</t>
  </si>
  <si>
    <t>Energiforsyning (vindmøller)</t>
  </si>
  <si>
    <t>Bygge og anlæg</t>
  </si>
  <si>
    <t>Finansiering og forsikring</t>
  </si>
  <si>
    <t>Fast ejendom</t>
  </si>
  <si>
    <t>Øvrige erhverv</t>
  </si>
  <si>
    <t>Erhverv i alt:</t>
  </si>
  <si>
    <t>Privat i alt</t>
  </si>
  <si>
    <t>I alt</t>
  </si>
  <si>
    <t xml:space="preserve">Udlån i mio. kr. </t>
  </si>
  <si>
    <t>Balance</t>
  </si>
  <si>
    <t>Udlån og garantier fordelt på brancher i pct. ultimo året</t>
  </si>
  <si>
    <t>År</t>
  </si>
  <si>
    <t xml:space="preserve">Resultat før skat i mio. kr. </t>
  </si>
  <si>
    <t>Udlån og garantier fordelt på brancher i kr. ultimo året</t>
  </si>
  <si>
    <t>Handel, Transport, Hotel og restauranter, Information og kommunikation</t>
  </si>
  <si>
    <t>Stigning i udlån fordelt på brancheniveau      I perioden  (2003-2010)</t>
  </si>
  <si>
    <t xml:space="preserve">Pct. af samlet stigning i kr. </t>
  </si>
  <si>
    <t>Basispoint</t>
  </si>
  <si>
    <t xml:space="preserve"> Mio. kr.</t>
  </si>
  <si>
    <t xml:space="preserve">Basis indtjening </t>
  </si>
  <si>
    <t>Udlån inkl. grantier</t>
  </si>
  <si>
    <t>Ikke balanceførrte poster (garanti)</t>
  </si>
  <si>
    <t xml:space="preserve">Resultat efter skat i mio. kr. </t>
  </si>
  <si>
    <t xml:space="preserve">Udbytte mio. kr. </t>
  </si>
  <si>
    <t>Renteudgifter</t>
  </si>
  <si>
    <t>Rente indtægter</t>
  </si>
  <si>
    <t>Skat</t>
  </si>
  <si>
    <t>Skat %</t>
  </si>
  <si>
    <t>Aktiekapital</t>
  </si>
  <si>
    <t>Hybrid kernekapital</t>
  </si>
  <si>
    <t>Ansvarlig lånekapital</t>
  </si>
  <si>
    <t>Overført overskud</t>
  </si>
  <si>
    <t>Udbetalt udbytte</t>
  </si>
  <si>
    <t>Basis kapital efter fradrag</t>
  </si>
  <si>
    <t>Vægtede poster med kredit- og modpartsrisiko</t>
  </si>
  <si>
    <t>Markedsrisiko</t>
  </si>
  <si>
    <t>Operationel risiko</t>
  </si>
  <si>
    <t>Risikovægtede poster i alt</t>
  </si>
  <si>
    <t>Basiskapital opgørelse 2010 i 1000 kr.</t>
  </si>
  <si>
    <t xml:space="preserve">Opgørelse af risikovægtede poster 2010 i 1000 kr. </t>
  </si>
  <si>
    <t>Gæld til kreditinstitutter - restløbetid under 1 år: 1.565.552 tkr.</t>
  </si>
  <si>
    <t>Gæld til kreditinstitutter - restløbetid over 1 år: 11.669 tkr.</t>
  </si>
  <si>
    <t>Øvrige passivposter: 312.177 tkr.</t>
  </si>
  <si>
    <t>Egenkapital: 1.152.463 tkr.</t>
  </si>
  <si>
    <t xml:space="preserve">Udstedte obligationer over 1 år: 337.617 tkr. </t>
  </si>
  <si>
    <t xml:space="preserve">Opsagt ansvarlig kapital: 300.000 tkr. </t>
  </si>
  <si>
    <t xml:space="preserve">Samlet ansvarlig kapital: 2.709.343 tkr. </t>
  </si>
  <si>
    <t>Øvrige passivposter: 606.400 tkr.</t>
  </si>
  <si>
    <t>Gæld til kreditinstitutter - restløbetid over 1 år: 1.900.222 tkr.</t>
  </si>
  <si>
    <t xml:space="preserve">Indlån og anden gæld: 11.661.654 tkr. </t>
  </si>
  <si>
    <t>Gæld til kreditinstitutter - restløbetid under 1 år: 731.968 tkr.</t>
  </si>
  <si>
    <t xml:space="preserve">Indlån og anden gæld over 1 år: 4.390.606 tkr. </t>
  </si>
  <si>
    <t>Udlån og garantier fordelt på brancher i pct. ultimo året (Taget direkte fra regnskabet)</t>
  </si>
  <si>
    <t>Netto renteindtægter</t>
  </si>
  <si>
    <t>Rentelignede provisionsindtægter</t>
  </si>
  <si>
    <t>Udbytte af aktier m.v.</t>
  </si>
  <si>
    <t>Gebyrer og provivsionsindtægter</t>
  </si>
  <si>
    <t>Afgivne gebyrer og gebyrindtægter</t>
  </si>
  <si>
    <t>Kursregulleringer</t>
  </si>
  <si>
    <t>Andre driftsindtægter</t>
  </si>
  <si>
    <t>Udgifter til personale og administration</t>
  </si>
  <si>
    <t>Af- og nedskrivninger på immatrielle og materielle aktiver</t>
  </si>
  <si>
    <t xml:space="preserve">    Diverse andre driftsudgifter</t>
  </si>
  <si>
    <t xml:space="preserve">    Garantiprovision vedrørende national bankpakke I mv. </t>
  </si>
  <si>
    <t>Nedskrivninger på udlån og tilgodehavender</t>
  </si>
  <si>
    <t xml:space="preserve">    Provisionsindtægter Topdanmark</t>
  </si>
  <si>
    <t xml:space="preserve">   Nedskrivninger på udlån og tilgodehavender</t>
  </si>
  <si>
    <t xml:space="preserve">   Nedskrivninger vedrørende national bankpakke I m.v. </t>
  </si>
  <si>
    <t>Resultat af kapitalandele i associerede virksomheder</t>
  </si>
  <si>
    <t>Årets resultat</t>
  </si>
  <si>
    <t xml:space="preserve">    Udgifter til implementering af skadesforsikring</t>
  </si>
  <si>
    <t>Netto rente- og gebyrindtægter</t>
  </si>
  <si>
    <t>Andredriftsudgifter</t>
  </si>
  <si>
    <t>dage</t>
  </si>
  <si>
    <t>Landbobanken</t>
  </si>
  <si>
    <t>Indkomst e skat</t>
  </si>
  <si>
    <t xml:space="preserve">Resultat efter skat </t>
  </si>
  <si>
    <t>(Egenkapital OGSÅ ved sparekasser)</t>
  </si>
  <si>
    <t>Garantkapital</t>
  </si>
  <si>
    <t>Pulje (aktivside)</t>
  </si>
  <si>
    <t>Skattesats %</t>
  </si>
  <si>
    <t xml:space="preserve"> WACC</t>
  </si>
  <si>
    <t>Beta</t>
  </si>
  <si>
    <r>
      <t xml:space="preserve">KW =  Kd(1-T)L+ </t>
    </r>
    <r>
      <rPr>
        <sz val="12"/>
        <color rgb="FF000000"/>
        <rFont val="Times New Roman"/>
        <family val="1"/>
      </rPr>
      <t>Ke(1-L)</t>
    </r>
  </si>
  <si>
    <t>Risikofrirente%</t>
  </si>
  <si>
    <t xml:space="preserve">Gennemsnitlig, forrentning af 10 årig statsobl. </t>
  </si>
  <si>
    <t>Fremmedkapital: Kd(1-T)L</t>
  </si>
  <si>
    <t>forventet rente%</t>
  </si>
  <si>
    <t xml:space="preserve">Det dobbelte. </t>
  </si>
  <si>
    <t>Egenkapital:  Ke(1-L)</t>
  </si>
  <si>
    <t>kd</t>
  </si>
  <si>
    <t>L</t>
  </si>
  <si>
    <t>ICGR</t>
  </si>
  <si>
    <t>Ke</t>
  </si>
  <si>
    <t>Venstre side</t>
  </si>
  <si>
    <t>ICGR = 1 / (Egenkapital/Aktiver) * Resultat e. skat / Aktiver * (Resultat e.skat - udbytte) / Resultat e. skat</t>
  </si>
  <si>
    <t>Højre side</t>
  </si>
  <si>
    <t>ICGR 2010 = 1/(2.312/18.247)*257/18.247*(257-60,4)/257 = 8,50%</t>
  </si>
  <si>
    <t>WACC</t>
  </si>
  <si>
    <t>ICGR via formel</t>
  </si>
  <si>
    <t>Forudsætter samme resultat</t>
  </si>
  <si>
    <t>ERR</t>
  </si>
  <si>
    <t>CR</t>
  </si>
  <si>
    <t>RA</t>
  </si>
  <si>
    <t>Calc</t>
  </si>
  <si>
    <t>Calc2</t>
  </si>
  <si>
    <t>og positivt resultat</t>
  </si>
  <si>
    <t xml:space="preserve">Tomorrow next - finansiere sig med. </t>
  </si>
  <si>
    <t>Ønsket ICGR%</t>
  </si>
  <si>
    <t>Manglende BK</t>
  </si>
  <si>
    <t>Ulykke forsikring</t>
  </si>
  <si>
    <t>Indbo- &amp; Ansvarsforsikringer</t>
  </si>
  <si>
    <t>Husforsikringer</t>
  </si>
  <si>
    <t>Fritidshusforsikringer</t>
  </si>
  <si>
    <t>Bilforsikringer</t>
  </si>
  <si>
    <t xml:space="preserve">Stk. </t>
  </si>
  <si>
    <t>Provision %</t>
  </si>
  <si>
    <t>=</t>
  </si>
  <si>
    <t>Indtjening Landbobanken</t>
  </si>
  <si>
    <t>Tegningsprovision til Landbobanken</t>
  </si>
  <si>
    <t>á</t>
  </si>
  <si>
    <t>Bestandsprovision herefter årligt</t>
  </si>
  <si>
    <t>Landbobankens forventede provisionsindtjening ved salg af forsikringer</t>
  </si>
  <si>
    <t xml:space="preserve">Præmie Topdanmark i alt kr. </t>
  </si>
  <si>
    <t xml:space="preserve">Præmie kr. / stk. </t>
  </si>
  <si>
    <t>Udskifning af bil, hver 10 år.</t>
  </si>
  <si>
    <t>Provision til Landbobanken</t>
  </si>
  <si>
    <t>Herning</t>
  </si>
  <si>
    <t>Holstebro</t>
  </si>
  <si>
    <t>Ringkøbing-Skjern</t>
  </si>
  <si>
    <t>Viborg</t>
  </si>
  <si>
    <t>Familier i alt</t>
  </si>
  <si>
    <t>Familier uden bil i alt</t>
  </si>
  <si>
    <t>Familier med bil i alt</t>
  </si>
  <si>
    <t>Familier med 1 bil i alt</t>
  </si>
  <si>
    <t>Familier med personbil</t>
  </si>
  <si>
    <t>Familier med firmabil</t>
  </si>
  <si>
    <t>Familier med varebil</t>
  </si>
  <si>
    <t>Familier med 2 biler i alt</t>
  </si>
  <si>
    <t>Familier med 2 personbiler</t>
  </si>
  <si>
    <t>Familier med 2 firmabiler</t>
  </si>
  <si>
    <t>Familier med 2 varebiler</t>
  </si>
  <si>
    <t>Familier med 1 personbil og 1 firmabil</t>
  </si>
  <si>
    <t>Familier med 1 personbil og en varebil</t>
  </si>
  <si>
    <t>Familier med 1 firmabil og 1 varebil</t>
  </si>
  <si>
    <t>Familier med 3 biler i alt</t>
  </si>
  <si>
    <t>Familier med flere end 3 biler</t>
  </si>
  <si>
    <t>Antal bilforsikringer i    Ringkjøbing Landbobank</t>
  </si>
  <si>
    <t>Holstebro, Herning &amp; Viborg</t>
  </si>
  <si>
    <t>Familier med 1 personbil</t>
  </si>
  <si>
    <t xml:space="preserve">Antal familier </t>
  </si>
  <si>
    <t>Antal biler (Antal familier x 1)</t>
  </si>
  <si>
    <t>Familier med 2 personbiler:</t>
  </si>
  <si>
    <t>Antal familer</t>
  </si>
  <si>
    <t>Antal biler (Antal familier x 2)</t>
  </si>
  <si>
    <t xml:space="preserve">Bil forsikringer i alt: </t>
  </si>
  <si>
    <t xml:space="preserve">(28.977 + 12.683) </t>
  </si>
  <si>
    <t>Nedenstående tal i figur 1 er dannet udfra Danmarks statistik.                                   Familiernes bilrådighed (faktiske tal) efter tid, rådighedsmønster og område</t>
  </si>
  <si>
    <t>Figur 1 / 2010 tal</t>
  </si>
  <si>
    <t xml:space="preserve">Indtjening i 1.000 kr. </t>
  </si>
  <si>
    <t>Renteindtægter</t>
  </si>
  <si>
    <t xml:space="preserve">Tegningsprovisionen forventes indtjent over 4 år, med 49.182 tkr. årligt.  </t>
  </si>
  <si>
    <t xml:space="preserve">I årene 2012, 2013 og 2014 opnås foruden tegningenprovision også bestandsprovision af forsikringerne som er tegnet årene forinden, hvorfor indtjeningen i disse år er stigende. </t>
  </si>
  <si>
    <t xml:space="preserve">I år 2015 opnås bestandprovision af det fulde præmiebeløb, hertil kommer tegningsprovision fra de forsikringer som kunderne løbende til nytegne, f.eks. Ved udskiftning af bil. </t>
  </si>
  <si>
    <t xml:space="preserve">Jeg har i ovennævnte kun medregnet udskiftning af bil, som jeg forudsætter udskiftes i gennemsnit hvert 10. år. </t>
  </si>
  <si>
    <t>Resultat disponering</t>
  </si>
  <si>
    <t>Årets resultat:</t>
  </si>
  <si>
    <t>Anvendes til udbytte</t>
  </si>
  <si>
    <t>Henlægges til overført overskud</t>
  </si>
  <si>
    <t xml:space="preserve">Anvendes i alt: </t>
  </si>
  <si>
    <t>Nettoindtjening skadesforsikring</t>
  </si>
  <si>
    <t>Basiskapital primo året</t>
  </si>
  <si>
    <t>Basiskapital ultimo året</t>
  </si>
  <si>
    <t>Basiskapital efter fradrag</t>
  </si>
  <si>
    <t xml:space="preserve">Vægtede poster med kredit- </t>
  </si>
  <si>
    <t>og modpartsrisiko</t>
  </si>
  <si>
    <t>Basiskapitalopgørelse 2010 i 1000 kr.</t>
  </si>
  <si>
    <t xml:space="preserve">Basiskapital opgørelse i 1000 kr. </t>
  </si>
  <si>
    <t xml:space="preserve">Egenkapital opgørelse i 1000 kr. </t>
  </si>
  <si>
    <t>Egenkapital primo året</t>
  </si>
  <si>
    <t>Egenkapital ultimo året</t>
  </si>
  <si>
    <t>Skat (Forudsat uændret skattesats) 24,07%</t>
  </si>
  <si>
    <t>KOORDINATIONS- OG STYRINGSTIDSPLAN</t>
  </si>
  <si>
    <t>INTERESSENT / DELTAGER</t>
  </si>
  <si>
    <t>Projektgruppen</t>
  </si>
  <si>
    <t>Direktionen</t>
  </si>
  <si>
    <t>Topdanmark</t>
  </si>
  <si>
    <t>Afdelingschefer</t>
  </si>
  <si>
    <t>Rådgivere</t>
  </si>
  <si>
    <t>Nøglepersoner</t>
  </si>
  <si>
    <t>Specialisten</t>
  </si>
  <si>
    <t>Udvikling</t>
  </si>
  <si>
    <t>HR</t>
  </si>
  <si>
    <t>IT</t>
  </si>
  <si>
    <t>INDSATSOMRÅDER &amp; AKTIVITET</t>
  </si>
  <si>
    <t>TIDSPLAN</t>
  </si>
  <si>
    <t>NR</t>
  </si>
  <si>
    <t>BETEGNELSE</t>
  </si>
  <si>
    <t>Start</t>
  </si>
  <si>
    <t>Slut</t>
  </si>
  <si>
    <t xml:space="preserve">IMPLEMENTERING AF SKADESFORSIKRINGSSALG </t>
  </si>
  <si>
    <t xml:space="preserve">   Markedsundersøgelse / rapport</t>
  </si>
  <si>
    <t>U</t>
  </si>
  <si>
    <t>V</t>
  </si>
  <si>
    <t xml:space="preserve">   Planlægge konceptet for salg af forsikring</t>
  </si>
  <si>
    <t>U,V</t>
  </si>
  <si>
    <t xml:space="preserve">   Salg af forsikringer - Godkendt</t>
  </si>
  <si>
    <t>G</t>
  </si>
  <si>
    <t>I</t>
  </si>
  <si>
    <t xml:space="preserve">   Process arbejde</t>
  </si>
  <si>
    <t xml:space="preserve">   Salg af forsikring - sat i drift</t>
  </si>
  <si>
    <t xml:space="preserve">   Opfølgning</t>
  </si>
  <si>
    <t>ARBEJDSPROCESSER</t>
  </si>
  <si>
    <t>Information om beslutning om forsikring</t>
  </si>
  <si>
    <t xml:space="preserve">    Informationsmøde </t>
  </si>
  <si>
    <t xml:space="preserve">    Morgenmøde i afdelinger</t>
  </si>
  <si>
    <t>Jobprofil specialist</t>
  </si>
  <si>
    <t xml:space="preserve">    Tilrettelægge jobprofil</t>
  </si>
  <si>
    <t>K</t>
  </si>
  <si>
    <t xml:space="preserve">    Beskrive jobprofil</t>
  </si>
  <si>
    <t xml:space="preserve">    Job profil klar</t>
  </si>
  <si>
    <t xml:space="preserve">    Ansøgnings periode</t>
  </si>
  <si>
    <t>R</t>
  </si>
  <si>
    <t xml:space="preserve">    Samtale periode</t>
  </si>
  <si>
    <t xml:space="preserve">    Specialist ansat</t>
  </si>
  <si>
    <t>Uddannelse</t>
  </si>
  <si>
    <t>Specialist</t>
  </si>
  <si>
    <t xml:space="preserve">    Uddannelse specialist</t>
  </si>
  <si>
    <t>Nøgleperson</t>
  </si>
  <si>
    <t xml:space="preserve">    Valg af nøgleperson</t>
  </si>
  <si>
    <t>U,G</t>
  </si>
  <si>
    <t xml:space="preserve">    Infodag nøgepersoner</t>
  </si>
  <si>
    <t xml:space="preserve">    Kursus nøglepersoner</t>
  </si>
  <si>
    <t>Rådgivere / Afdelingen</t>
  </si>
  <si>
    <t xml:space="preserve">    Morgenmøde i afdelingen</t>
  </si>
  <si>
    <t xml:space="preserve">    E-learning</t>
  </si>
  <si>
    <t xml:space="preserve">    Kick-off meeting v. chef + nøgleperson</t>
  </si>
  <si>
    <t>Systemer og materialer</t>
  </si>
  <si>
    <t>Møde materiale</t>
  </si>
  <si>
    <t xml:space="preserve">    Tilrettelægge &amp; oprette materiale til informationmøde</t>
  </si>
  <si>
    <t>V,G</t>
  </si>
  <si>
    <t xml:space="preserve">    Tilrettelægge &amp; oprette materiale til morgenmøde v. chef</t>
  </si>
  <si>
    <t xml:space="preserve">    Tilrettelægge &amp; oprette materiale til møde v. nøglepersioner</t>
  </si>
  <si>
    <t>Forsikringssystem</t>
  </si>
  <si>
    <t xml:space="preserve">   Teste e-learning</t>
  </si>
  <si>
    <t xml:space="preserve">   E-learning klar</t>
  </si>
  <si>
    <t>Forretningsgang</t>
  </si>
  <si>
    <t xml:space="preserve">   Tilrettelægge forretningsgang</t>
  </si>
  <si>
    <t xml:space="preserve">   Beskrive forretningsgang</t>
  </si>
  <si>
    <t xml:space="preserve">   Forretningsgang klar</t>
  </si>
  <si>
    <t>Kursusmateriale Nøglepersoner</t>
  </si>
  <si>
    <t xml:space="preserve">   Tilrettelægge kursusmateriale</t>
  </si>
  <si>
    <t xml:space="preserve">   Oprette kursus materiale</t>
  </si>
  <si>
    <t xml:space="preserve">   Kursusmateriale klar</t>
  </si>
  <si>
    <t xml:space="preserve">E-learning </t>
  </si>
  <si>
    <t xml:space="preserve">   Designe e-learning</t>
  </si>
  <si>
    <t xml:space="preserve">   Programere e-learning</t>
  </si>
  <si>
    <t>SYMBOLER:</t>
  </si>
  <si>
    <t>Udfører = U   Bliver informeret = I   Vurderer = V</t>
  </si>
  <si>
    <t xml:space="preserve">                         Leverer = L    Kontrollerer = K      Godkender = G</t>
  </si>
  <si>
    <t>160</t>
  </si>
  <si>
    <t>640</t>
  </si>
  <si>
    <t>37</t>
  </si>
  <si>
    <t>Timeforbrug i alt</t>
  </si>
  <si>
    <t>Budget</t>
  </si>
  <si>
    <t>Timer</t>
  </si>
  <si>
    <t>Timeforbrug</t>
  </si>
  <si>
    <t>Gns. timeløn</t>
  </si>
  <si>
    <t>Omkostninger</t>
  </si>
  <si>
    <t>Direktionen            2 pers.</t>
  </si>
  <si>
    <t>Projektleder           1 pers.</t>
  </si>
  <si>
    <t>Afdelingschefer                16 pers</t>
  </si>
  <si>
    <t>Rådgivere                   144 pers</t>
  </si>
  <si>
    <t>Nøglepersoner                  16 pers</t>
  </si>
  <si>
    <t>Specialisten             1 pers</t>
  </si>
  <si>
    <t xml:space="preserve"> </t>
  </si>
  <si>
    <t>Udvikling                 5 pers</t>
  </si>
  <si>
    <t>HR                            2 pers.</t>
  </si>
  <si>
    <t>IT                               4 pers</t>
  </si>
  <si>
    <t xml:space="preserve">Rådgiverer svarer til 1,5 dag </t>
  </si>
  <si>
    <t>Nøglepersoner svarer til 4 fuldtidsdager</t>
  </si>
  <si>
    <t>Afdelingensscefter  svarer til én dag</t>
  </si>
  <si>
    <t>Topdanmark svarer til 12 ugers undervisning</t>
  </si>
  <si>
    <t>Specialist svarer til 12 ugers undervisning</t>
  </si>
  <si>
    <t>Direktionen svarer til 3 hele dage</t>
  </si>
  <si>
    <t>Projektleder svarer til 7 mdr. fuldtid</t>
  </si>
  <si>
    <t xml:space="preserve">IT svarer til 2 mdr. fuldtid pr. pers. </t>
  </si>
  <si>
    <t>1.   Markedsundersøgelse / rapport</t>
  </si>
  <si>
    <t>2.   Planlægge konceptet for salg af forsikring</t>
  </si>
  <si>
    <t>5.  Salg af forsikring - sat i drift</t>
  </si>
  <si>
    <t>6.   Opfølgning</t>
  </si>
  <si>
    <t>4.  Process arbejde</t>
  </si>
  <si>
    <t>3.  Salg af forsikringer - Godkendt</t>
  </si>
  <si>
    <t>Taget ud fra regnskaber</t>
  </si>
  <si>
    <t>Ny solvensprocent</t>
  </si>
  <si>
    <r>
      <t>Resultatopgørelse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(1000 kr.)</t>
    </r>
  </si>
  <si>
    <r>
      <t xml:space="preserve">KW =  Kd(1-T)L+ </t>
    </r>
    <r>
      <rPr>
        <sz val="10"/>
        <color rgb="FF000000"/>
        <rFont val="Calibri"/>
        <family val="2"/>
        <scheme val="minor"/>
      </rPr>
      <t>Ke(1-L)</t>
    </r>
  </si>
  <si>
    <t>Aktiver ultimo året</t>
  </si>
  <si>
    <t>Aktiver primo året</t>
  </si>
  <si>
    <t xml:space="preserve">Opgørelse af Aktiver i 1000 kr. </t>
  </si>
  <si>
    <t>Vækst  i resultat efter skat i procent</t>
  </si>
  <si>
    <t>Nettofortjeneste ved salg af forsikringer (1000 kr.)</t>
  </si>
  <si>
    <t xml:space="preserve">    Implementering af skadesforsikringssystem</t>
  </si>
  <si>
    <t xml:space="preserve">   Teste skadesforsikringssystem</t>
  </si>
  <si>
    <t xml:space="preserve">    Skadeforsikringssysmten klar</t>
  </si>
  <si>
    <t>03-08-2011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</si>
</sst>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_ * #,##0_ ;_ * \-#,##0_ ;_ * &quot;-&quot;??_ ;_ @_ "/>
    <numFmt numFmtId="165" formatCode="_ * #,##0.000000000_ ;_ * \-#,##0.000000000_ ;_ * &quot;-&quot;??_ ;_ @_ "/>
    <numFmt numFmtId="166" formatCode="_ * #,##0.00_ ;_ * \-#,##0.00_ ;_ * &quot;-&quot;?????????_ ;_ @_ "/>
    <numFmt numFmtId="167" formatCode="_ * #,##0.00000_ ;_ * \-#,##0.00000_ ;_ * &quot;-&quot;??_ ;_ @_ "/>
    <numFmt numFmtId="168" formatCode="0.000000"/>
    <numFmt numFmtId="169" formatCode="0.000"/>
    <numFmt numFmtId="170" formatCode="_ * #,##0.0000_ ;_ * \-#,##0.0000_ ;_ * &quot;-&quot;??_ ;_ @_ "/>
    <numFmt numFmtId="171" formatCode="0.0"/>
    <numFmt numFmtId="172" formatCode="0.0%"/>
    <numFmt numFmtId="173" formatCode="_ * #,##0.000_ ;_ * \-#,##0.0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6">
    <xf numFmtId="0" fontId="0" fillId="0" borderId="0" xfId="0"/>
    <xf numFmtId="0" fontId="0" fillId="0" borderId="1" xfId="0" applyBorder="1"/>
    <xf numFmtId="0" fontId="0" fillId="0" borderId="0" xfId="0" applyFill="1" applyBorder="1"/>
    <xf numFmtId="1" fontId="2" fillId="2" borderId="1" xfId="0" applyNumberFormat="1" applyFont="1" applyFill="1" applyBorder="1"/>
    <xf numFmtId="1" fontId="0" fillId="0" borderId="1" xfId="0" applyNumberFormat="1" applyBorder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0" fontId="0" fillId="0" borderId="13" xfId="0" applyBorder="1"/>
    <xf numFmtId="2" fontId="0" fillId="0" borderId="14" xfId="0" applyNumberFormat="1" applyBorder="1"/>
    <xf numFmtId="2" fontId="0" fillId="0" borderId="14" xfId="0" applyNumberFormat="1" applyBorder="1" applyAlignment="1">
      <alignment horizontal="right"/>
    </xf>
    <xf numFmtId="2" fontId="0" fillId="0" borderId="14" xfId="0" applyNumberFormat="1" applyFill="1" applyBorder="1" applyAlignment="1">
      <alignment horizontal="right" vertical="center"/>
    </xf>
    <xf numFmtId="2" fontId="2" fillId="2" borderId="14" xfId="0" applyNumberFormat="1" applyFont="1" applyFill="1" applyBorder="1"/>
    <xf numFmtId="2" fontId="2" fillId="2" borderId="13" xfId="0" applyNumberFormat="1" applyFont="1" applyFill="1" applyBorder="1"/>
    <xf numFmtId="2" fontId="2" fillId="2" borderId="1" xfId="0" applyNumberFormat="1" applyFont="1" applyFill="1" applyBorder="1"/>
    <xf numFmtId="0" fontId="2" fillId="2" borderId="18" xfId="0" applyFont="1" applyFill="1" applyBorder="1"/>
    <xf numFmtId="0" fontId="0" fillId="0" borderId="19" xfId="0" applyBorder="1"/>
    <xf numFmtId="0" fontId="0" fillId="0" borderId="20" xfId="0" applyBorder="1"/>
    <xf numFmtId="2" fontId="0" fillId="0" borderId="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2" fontId="0" fillId="0" borderId="0" xfId="0" applyNumberFormat="1" applyFill="1" applyBorder="1" applyAlignment="1">
      <alignment horizontal="right" vertical="center"/>
    </xf>
    <xf numFmtId="2" fontId="0" fillId="0" borderId="21" xfId="0" applyNumberFormat="1" applyFill="1" applyBorder="1" applyAlignment="1">
      <alignment horizontal="right" vertical="center"/>
    </xf>
    <xf numFmtId="2" fontId="0" fillId="0" borderId="0" xfId="0" applyNumberFormat="1" applyBorder="1"/>
    <xf numFmtId="2" fontId="0" fillId="0" borderId="21" xfId="0" applyNumberFormat="1" applyBorder="1"/>
    <xf numFmtId="2" fontId="2" fillId="2" borderId="19" xfId="0" applyNumberFormat="1" applyFont="1" applyFill="1" applyBorder="1"/>
    <xf numFmtId="0" fontId="2" fillId="2" borderId="20" xfId="0" applyFont="1" applyFill="1" applyBorder="1"/>
    <xf numFmtId="2" fontId="2" fillId="2" borderId="0" xfId="0" applyNumberFormat="1" applyFont="1" applyFill="1" applyBorder="1"/>
    <xf numFmtId="2" fontId="2" fillId="2" borderId="21" xfId="0" applyNumberFormat="1" applyFont="1" applyFill="1" applyBorder="1"/>
    <xf numFmtId="1" fontId="0" fillId="0" borderId="0" xfId="0" applyNumberFormat="1" applyBorder="1" applyAlignment="1">
      <alignment horizontal="right"/>
    </xf>
    <xf numFmtId="1" fontId="0" fillId="0" borderId="13" xfId="0" applyNumberFormat="1" applyBorder="1"/>
    <xf numFmtId="1" fontId="0" fillId="0" borderId="19" xfId="0" applyNumberFormat="1" applyBorder="1"/>
    <xf numFmtId="1" fontId="2" fillId="2" borderId="13" xfId="0" applyNumberFormat="1" applyFont="1" applyFill="1" applyBorder="1"/>
    <xf numFmtId="1" fontId="2" fillId="2" borderId="19" xfId="0" applyNumberFormat="1" applyFont="1" applyFill="1" applyBorder="1"/>
    <xf numFmtId="1" fontId="2" fillId="2" borderId="0" xfId="0" applyNumberFormat="1" applyFont="1" applyFill="1" applyBorder="1"/>
    <xf numFmtId="1" fontId="0" fillId="0" borderId="14" xfId="0" applyNumberFormat="1" applyBorder="1" applyAlignment="1">
      <alignment horizontal="right"/>
    </xf>
    <xf numFmtId="1" fontId="2" fillId="2" borderId="14" xfId="0" applyNumberFormat="1" applyFont="1" applyFill="1" applyBorder="1"/>
    <xf numFmtId="1" fontId="0" fillId="0" borderId="21" xfId="0" applyNumberFormat="1" applyBorder="1" applyAlignment="1">
      <alignment horizontal="right"/>
    </xf>
    <xf numFmtId="1" fontId="2" fillId="2" borderId="21" xfId="0" applyNumberFormat="1" applyFont="1" applyFill="1" applyBorder="1"/>
    <xf numFmtId="1" fontId="0" fillId="0" borderId="0" xfId="0" applyNumberFormat="1"/>
    <xf numFmtId="0" fontId="2" fillId="0" borderId="0" xfId="0" applyFont="1" applyFill="1" applyBorder="1"/>
    <xf numFmtId="0" fontId="2" fillId="2" borderId="28" xfId="0" applyFont="1" applyFill="1" applyBorder="1"/>
    <xf numFmtId="164" fontId="0" fillId="0" borderId="0" xfId="0" applyNumberFormat="1" applyBorder="1"/>
    <xf numFmtId="0" fontId="2" fillId="2" borderId="31" xfId="0" applyFont="1" applyFill="1" applyBorder="1"/>
    <xf numFmtId="0" fontId="0" fillId="0" borderId="32" xfId="0" applyBorder="1"/>
    <xf numFmtId="0" fontId="0" fillId="0" borderId="32" xfId="0" applyBorder="1" applyAlignment="1">
      <alignment wrapText="1"/>
    </xf>
    <xf numFmtId="0" fontId="0" fillId="0" borderId="32" xfId="0" applyFill="1" applyBorder="1" applyAlignment="1">
      <alignment wrapText="1"/>
    </xf>
    <xf numFmtId="164" fontId="0" fillId="0" borderId="0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right"/>
    </xf>
    <xf numFmtId="2" fontId="0" fillId="0" borderId="14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2" fontId="0" fillId="0" borderId="15" xfId="0" applyNumberFormat="1" applyBorder="1"/>
    <xf numFmtId="2" fontId="0" fillId="0" borderId="0" xfId="0" applyNumberFormat="1" applyAlignment="1">
      <alignment vertical="top" wrapText="1"/>
    </xf>
    <xf numFmtId="0" fontId="2" fillId="2" borderId="26" xfId="0" applyFont="1" applyFill="1" applyBorder="1"/>
    <xf numFmtId="0" fontId="0" fillId="3" borderId="0" xfId="0" applyFill="1" applyBorder="1" applyAlignment="1">
      <alignment vertical="top" wrapText="1"/>
    </xf>
    <xf numFmtId="2" fontId="0" fillId="0" borderId="21" xfId="0" applyNumberFormat="1" applyBorder="1" applyAlignment="1">
      <alignment vertical="top" wrapText="1"/>
    </xf>
    <xf numFmtId="0" fontId="2" fillId="2" borderId="37" xfId="0" applyFont="1" applyFill="1" applyBorder="1" applyAlignment="1">
      <alignment vertical="center" wrapText="1"/>
    </xf>
    <xf numFmtId="0" fontId="2" fillId="2" borderId="32" xfId="0" applyFont="1" applyFill="1" applyBorder="1"/>
    <xf numFmtId="2" fontId="0" fillId="2" borderId="21" xfId="0" applyNumberFormat="1" applyFill="1" applyBorder="1" applyAlignment="1">
      <alignment vertical="top" wrapText="1"/>
    </xf>
    <xf numFmtId="1" fontId="0" fillId="0" borderId="20" xfId="0" applyNumberFormat="1" applyBorder="1"/>
    <xf numFmtId="1" fontId="0" fillId="0" borderId="20" xfId="0" applyNumberFormat="1" applyBorder="1" applyAlignment="1">
      <alignment vertical="center"/>
    </xf>
    <xf numFmtId="1" fontId="0" fillId="2" borderId="22" xfId="0" applyNumberFormat="1" applyFill="1" applyBorder="1"/>
    <xf numFmtId="164" fontId="0" fillId="2" borderId="23" xfId="0" applyNumberFormat="1" applyFill="1" applyBorder="1"/>
    <xf numFmtId="2" fontId="0" fillId="2" borderId="24" xfId="0" applyNumberFormat="1" applyFill="1" applyBorder="1" applyAlignment="1">
      <alignment vertical="top" wrapText="1"/>
    </xf>
    <xf numFmtId="2" fontId="0" fillId="0" borderId="21" xfId="0" applyNumberForma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1" fontId="0" fillId="2" borderId="20" xfId="0" applyNumberFormat="1" applyFill="1" applyBorder="1"/>
    <xf numFmtId="164" fontId="0" fillId="2" borderId="0" xfId="0" applyNumberFormat="1" applyFill="1" applyBorder="1"/>
    <xf numFmtId="1" fontId="0" fillId="2" borderId="26" xfId="0" applyNumberFormat="1" applyFill="1" applyBorder="1"/>
    <xf numFmtId="2" fontId="0" fillId="2" borderId="27" xfId="0" applyNumberFormat="1" applyFill="1" applyBorder="1" applyAlignment="1">
      <alignment vertical="top" wrapText="1"/>
    </xf>
    <xf numFmtId="0" fontId="2" fillId="2" borderId="34" xfId="0" applyFont="1" applyFill="1" applyBorder="1"/>
    <xf numFmtId="1" fontId="0" fillId="2" borderId="33" xfId="0" applyNumberFormat="1" applyFill="1" applyBorder="1"/>
    <xf numFmtId="1" fontId="0" fillId="2" borderId="17" xfId="0" applyNumberFormat="1" applyFill="1" applyBorder="1"/>
    <xf numFmtId="2" fontId="0" fillId="2" borderId="30" xfId="0" applyNumberFormat="1" applyFill="1" applyBorder="1" applyAlignment="1">
      <alignment vertical="top" wrapText="1"/>
    </xf>
    <xf numFmtId="0" fontId="0" fillId="0" borderId="35" xfId="0" applyBorder="1"/>
    <xf numFmtId="0" fontId="2" fillId="2" borderId="38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1" fontId="2" fillId="2" borderId="11" xfId="0" applyNumberFormat="1" applyFont="1" applyFill="1" applyBorder="1"/>
    <xf numFmtId="1" fontId="2" fillId="2" borderId="5" xfId="0" applyNumberFormat="1" applyFont="1" applyFill="1" applyBorder="1"/>
    <xf numFmtId="1" fontId="2" fillId="2" borderId="6" xfId="0" applyNumberFormat="1" applyFont="1" applyFill="1" applyBorder="1"/>
    <xf numFmtId="2" fontId="2" fillId="2" borderId="11" xfId="0" applyNumberFormat="1" applyFon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 vertical="center"/>
    </xf>
    <xf numFmtId="0" fontId="2" fillId="2" borderId="40" xfId="0" applyFont="1" applyFill="1" applyBorder="1"/>
    <xf numFmtId="164" fontId="0" fillId="2" borderId="17" xfId="0" applyNumberFormat="1" applyFill="1" applyBorder="1"/>
    <xf numFmtId="2" fontId="0" fillId="0" borderId="2" xfId="0" applyNumberFormat="1" applyBorder="1"/>
    <xf numFmtId="2" fontId="0" fillId="0" borderId="27" xfId="0" applyNumberFormat="1" applyBorder="1"/>
    <xf numFmtId="0" fontId="3" fillId="2" borderId="3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2" borderId="28" xfId="0" applyFont="1" applyFill="1" applyBorder="1"/>
    <xf numFmtId="0" fontId="0" fillId="0" borderId="1" xfId="0" applyFill="1" applyBorder="1" applyAlignment="1">
      <alignment horizontal="right"/>
    </xf>
    <xf numFmtId="164" fontId="5" fillId="0" borderId="1" xfId="1" applyNumberFormat="1" applyFont="1" applyBorder="1" applyAlignment="1"/>
    <xf numFmtId="164" fontId="5" fillId="0" borderId="1" xfId="1" applyNumberFormat="1" applyFont="1" applyFill="1" applyBorder="1" applyAlignment="1"/>
    <xf numFmtId="0" fontId="7" fillId="0" borderId="33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64" fontId="5" fillId="0" borderId="18" xfId="1" applyNumberFormat="1" applyFont="1" applyBorder="1" applyAlignment="1"/>
    <xf numFmtId="164" fontId="5" fillId="0" borderId="19" xfId="1" applyNumberFormat="1" applyFont="1" applyBorder="1" applyAlignment="1"/>
    <xf numFmtId="43" fontId="5" fillId="0" borderId="22" xfId="1" applyNumberFormat="1" applyFont="1" applyBorder="1" applyAlignment="1">
      <alignment horizontal="right"/>
    </xf>
    <xf numFmtId="43" fontId="5" fillId="0" borderId="23" xfId="1" applyNumberFormat="1" applyFont="1" applyFill="1" applyBorder="1" applyAlignment="1">
      <alignment horizontal="right"/>
    </xf>
    <xf numFmtId="43" fontId="5" fillId="0" borderId="23" xfId="1" applyNumberFormat="1" applyFont="1" applyBorder="1" applyAlignment="1">
      <alignment horizontal="right"/>
    </xf>
    <xf numFmtId="43" fontId="5" fillId="0" borderId="24" xfId="1" applyNumberFormat="1" applyFont="1" applyBorder="1" applyAlignment="1">
      <alignment horizontal="right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43" fontId="5" fillId="0" borderId="0" xfId="1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0" fontId="2" fillId="2" borderId="33" xfId="0" applyFont="1" applyFill="1" applyBorder="1"/>
    <xf numFmtId="1" fontId="0" fillId="2" borderId="29" xfId="0" applyNumberFormat="1" applyFill="1" applyBorder="1"/>
    <xf numFmtId="1" fontId="0" fillId="2" borderId="30" xfId="0" applyNumberFormat="1" applyFill="1" applyBorder="1"/>
    <xf numFmtId="0" fontId="4" fillId="2" borderId="16" xfId="0" applyFont="1" applyFill="1" applyBorder="1" applyAlignment="1">
      <alignment horizontal="left"/>
    </xf>
    <xf numFmtId="0" fontId="6" fillId="2" borderId="31" xfId="0" applyFont="1" applyFill="1" applyBorder="1"/>
    <xf numFmtId="0" fontId="2" fillId="2" borderId="11" xfId="0" applyFont="1" applyFill="1" applyBorder="1" applyAlignment="1">
      <alignment horizontal="center"/>
    </xf>
    <xf numFmtId="10" fontId="0" fillId="0" borderId="18" xfId="2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3" xfId="0" applyBorder="1"/>
    <xf numFmtId="164" fontId="0" fillId="0" borderId="30" xfId="1" applyNumberFormat="1" applyFont="1" applyBorder="1"/>
    <xf numFmtId="0" fontId="0" fillId="0" borderId="18" xfId="0" applyBorder="1"/>
    <xf numFmtId="164" fontId="0" fillId="0" borderId="19" xfId="1" applyNumberFormat="1" applyFont="1" applyBorder="1"/>
    <xf numFmtId="0" fontId="0" fillId="0" borderId="47" xfId="0" applyBorder="1"/>
    <xf numFmtId="164" fontId="0" fillId="0" borderId="48" xfId="1" applyNumberFormat="1" applyFont="1" applyBorder="1"/>
    <xf numFmtId="0" fontId="0" fillId="0" borderId="4" xfId="0" applyBorder="1"/>
    <xf numFmtId="164" fontId="0" fillId="0" borderId="6" xfId="0" applyNumberFormat="1" applyBorder="1"/>
    <xf numFmtId="0" fontId="0" fillId="0" borderId="0" xfId="0" applyAlignment="1">
      <alignment horizontal="center"/>
    </xf>
    <xf numFmtId="3" fontId="0" fillId="0" borderId="30" xfId="0" applyNumberFormat="1" applyBorder="1"/>
    <xf numFmtId="3" fontId="0" fillId="0" borderId="19" xfId="0" applyNumberFormat="1" applyBorder="1"/>
    <xf numFmtId="3" fontId="0" fillId="0" borderId="48" xfId="0" applyNumberFormat="1" applyBorder="1"/>
    <xf numFmtId="3" fontId="0" fillId="0" borderId="6" xfId="0" applyNumberFormat="1" applyBorder="1"/>
    <xf numFmtId="0" fontId="0" fillId="0" borderId="0" xfId="0" applyAlignment="1">
      <alignment wrapText="1"/>
    </xf>
    <xf numFmtId="0" fontId="0" fillId="0" borderId="0" xfId="0" applyBorder="1"/>
    <xf numFmtId="2" fontId="2" fillId="0" borderId="0" xfId="0" applyNumberFormat="1" applyFont="1" applyFill="1" applyBorder="1"/>
    <xf numFmtId="0" fontId="6" fillId="2" borderId="49" xfId="0" applyFont="1" applyFill="1" applyBorder="1"/>
    <xf numFmtId="0" fontId="6" fillId="2" borderId="40" xfId="0" applyFont="1" applyFill="1" applyBorder="1"/>
    <xf numFmtId="164" fontId="5" fillId="0" borderId="26" xfId="1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5" fillId="0" borderId="27" xfId="1" applyNumberFormat="1" applyFont="1" applyBorder="1" applyAlignment="1">
      <alignment horizontal="right"/>
    </xf>
    <xf numFmtId="0" fontId="6" fillId="2" borderId="16" xfId="0" applyFont="1" applyFill="1" applyBorder="1"/>
    <xf numFmtId="164" fontId="5" fillId="0" borderId="22" xfId="1" applyNumberFormat="1" applyFont="1" applyBorder="1" applyAlignment="1"/>
    <xf numFmtId="164" fontId="5" fillId="0" borderId="23" xfId="1" applyNumberFormat="1" applyFont="1" applyBorder="1" applyAlignment="1"/>
    <xf numFmtId="164" fontId="5" fillId="0" borderId="24" xfId="1" applyNumberFormat="1" applyFont="1" applyBorder="1" applyAlignment="1"/>
    <xf numFmtId="1" fontId="0" fillId="0" borderId="1" xfId="0" applyNumberFormat="1" applyBorder="1" applyAlignment="1">
      <alignment horizontal="right"/>
    </xf>
    <xf numFmtId="0" fontId="8" fillId="0" borderId="0" xfId="0" applyFont="1" applyFill="1" applyBorder="1"/>
    <xf numFmtId="0" fontId="0" fillId="5" borderId="1" xfId="0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0" fontId="10" fillId="2" borderId="37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8" fillId="2" borderId="28" xfId="0" applyFont="1" applyFill="1" applyBorder="1"/>
    <xf numFmtId="0" fontId="8" fillId="6" borderId="33" xfId="0" applyFont="1" applyFill="1" applyBorder="1" applyAlignment="1">
      <alignment horizontal="right"/>
    </xf>
    <xf numFmtId="0" fontId="8" fillId="7" borderId="29" xfId="0" applyFont="1" applyFill="1" applyBorder="1" applyAlignment="1">
      <alignment horizontal="right"/>
    </xf>
    <xf numFmtId="0" fontId="8" fillId="6" borderId="29" xfId="0" applyFont="1" applyFill="1" applyBorder="1" applyAlignment="1">
      <alignment horizontal="right"/>
    </xf>
    <xf numFmtId="0" fontId="8" fillId="7" borderId="30" xfId="0" applyFont="1" applyFill="1" applyBorder="1" applyAlignment="1">
      <alignment horizontal="right"/>
    </xf>
    <xf numFmtId="0" fontId="8" fillId="6" borderId="18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right"/>
    </xf>
    <xf numFmtId="0" fontId="8" fillId="7" borderId="19" xfId="0" applyFont="1" applyFill="1" applyBorder="1" applyAlignment="1">
      <alignment horizontal="right"/>
    </xf>
    <xf numFmtId="164" fontId="8" fillId="6" borderId="18" xfId="1" applyNumberFormat="1" applyFont="1" applyFill="1" applyBorder="1" applyAlignment="1"/>
    <xf numFmtId="164" fontId="8" fillId="7" borderId="1" xfId="1" applyNumberFormat="1" applyFont="1" applyFill="1" applyBorder="1" applyAlignment="1">
      <alignment horizontal="right" vertical="center"/>
    </xf>
    <xf numFmtId="164" fontId="8" fillId="6" borderId="1" xfId="1" applyNumberFormat="1" applyFont="1" applyFill="1" applyBorder="1" applyAlignment="1"/>
    <xf numFmtId="164" fontId="8" fillId="7" borderId="1" xfId="1" applyNumberFormat="1" applyFont="1" applyFill="1" applyBorder="1" applyAlignment="1"/>
    <xf numFmtId="164" fontId="8" fillId="7" borderId="19" xfId="1" applyNumberFormat="1" applyFont="1" applyFill="1" applyBorder="1" applyAlignment="1"/>
    <xf numFmtId="164" fontId="0" fillId="0" borderId="0" xfId="0" applyNumberFormat="1" applyAlignment="1">
      <alignment horizontal="center"/>
    </xf>
    <xf numFmtId="164" fontId="8" fillId="6" borderId="18" xfId="1" applyNumberFormat="1" applyFont="1" applyFill="1" applyBorder="1" applyAlignment="1">
      <alignment horizontal="right"/>
    </xf>
    <xf numFmtId="164" fontId="8" fillId="6" borderId="1" xfId="1" applyNumberFormat="1" applyFont="1" applyFill="1" applyBorder="1" applyAlignment="1">
      <alignment horizontal="right"/>
    </xf>
    <xf numFmtId="164" fontId="8" fillId="7" borderId="1" xfId="1" applyNumberFormat="1" applyFont="1" applyFill="1" applyBorder="1" applyAlignment="1">
      <alignment horizontal="right"/>
    </xf>
    <xf numFmtId="164" fontId="8" fillId="7" borderId="19" xfId="1" applyNumberFormat="1" applyFont="1" applyFill="1" applyBorder="1" applyAlignment="1">
      <alignment horizontal="right"/>
    </xf>
    <xf numFmtId="0" fontId="8" fillId="2" borderId="31" xfId="0" applyFont="1" applyFill="1" applyBorder="1"/>
    <xf numFmtId="10" fontId="8" fillId="6" borderId="22" xfId="2" applyNumberFormat="1" applyFont="1" applyFill="1" applyBorder="1" applyAlignment="1">
      <alignment horizontal="right"/>
    </xf>
    <xf numFmtId="10" fontId="8" fillId="7" borderId="23" xfId="2" applyNumberFormat="1" applyFont="1" applyFill="1" applyBorder="1" applyAlignment="1">
      <alignment horizontal="right"/>
    </xf>
    <xf numFmtId="10" fontId="8" fillId="6" borderId="23" xfId="2" applyNumberFormat="1" applyFont="1" applyFill="1" applyBorder="1" applyAlignment="1">
      <alignment horizontal="right"/>
    </xf>
    <xf numFmtId="10" fontId="8" fillId="7" borderId="24" xfId="2" applyNumberFormat="1" applyFont="1" applyFill="1" applyBorder="1" applyAlignment="1">
      <alignment horizontal="right"/>
    </xf>
    <xf numFmtId="10" fontId="0" fillId="0" borderId="0" xfId="0" applyNumberFormat="1"/>
    <xf numFmtId="0" fontId="9" fillId="4" borderId="37" xfId="0" applyFont="1" applyFill="1" applyBorder="1"/>
    <xf numFmtId="0" fontId="8" fillId="2" borderId="3" xfId="0" applyFont="1" applyFill="1" applyBorder="1"/>
    <xf numFmtId="10" fontId="8" fillId="6" borderId="4" xfId="0" applyNumberFormat="1" applyFont="1" applyFill="1" applyBorder="1" applyAlignment="1">
      <alignment horizontal="center"/>
    </xf>
    <xf numFmtId="10" fontId="8" fillId="7" borderId="5" xfId="0" applyNumberFormat="1" applyFont="1" applyFill="1" applyBorder="1" applyAlignment="1">
      <alignment horizontal="center"/>
    </xf>
    <xf numFmtId="10" fontId="8" fillId="6" borderId="5" xfId="0" applyNumberFormat="1" applyFont="1" applyFill="1" applyBorder="1" applyAlignment="1">
      <alignment horizontal="center"/>
    </xf>
    <xf numFmtId="10" fontId="8" fillId="7" borderId="6" xfId="0" applyNumberFormat="1" applyFont="1" applyFill="1" applyBorder="1" applyAlignment="1">
      <alignment horizontal="center"/>
    </xf>
    <xf numFmtId="0" fontId="8" fillId="2" borderId="34" xfId="0" applyFont="1" applyFill="1" applyBorder="1"/>
    <xf numFmtId="10" fontId="8" fillId="6" borderId="43" xfId="0" applyNumberFormat="1" applyFont="1" applyFill="1" applyBorder="1" applyAlignment="1">
      <alignment horizontal="center"/>
    </xf>
    <xf numFmtId="10" fontId="8" fillId="7" borderId="29" xfId="0" applyNumberFormat="1" applyFont="1" applyFill="1" applyBorder="1" applyAlignment="1">
      <alignment horizontal="center"/>
    </xf>
    <xf numFmtId="10" fontId="8" fillId="6" borderId="29" xfId="0" applyNumberFormat="1" applyFont="1" applyFill="1" applyBorder="1" applyAlignment="1">
      <alignment horizontal="center"/>
    </xf>
    <xf numFmtId="10" fontId="8" fillId="7" borderId="30" xfId="0" applyNumberFormat="1" applyFont="1" applyFill="1" applyBorder="1" applyAlignment="1">
      <alignment horizontal="center"/>
    </xf>
    <xf numFmtId="0" fontId="8" fillId="2" borderId="8" xfId="0" applyFont="1" applyFill="1" applyBorder="1"/>
    <xf numFmtId="10" fontId="8" fillId="6" borderId="44" xfId="0" applyNumberFormat="1" applyFont="1" applyFill="1" applyBorder="1" applyAlignment="1">
      <alignment horizontal="center"/>
    </xf>
    <xf numFmtId="10" fontId="8" fillId="7" borderId="23" xfId="0" applyNumberFormat="1" applyFont="1" applyFill="1" applyBorder="1" applyAlignment="1">
      <alignment horizontal="center"/>
    </xf>
    <xf numFmtId="10" fontId="8" fillId="6" borderId="23" xfId="0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0" fillId="2" borderId="25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168" fontId="0" fillId="0" borderId="0" xfId="0" applyNumberFormat="1"/>
    <xf numFmtId="10" fontId="8" fillId="0" borderId="22" xfId="0" applyNumberFormat="1" applyFont="1" applyFill="1" applyBorder="1"/>
    <xf numFmtId="10" fontId="8" fillId="0" borderId="23" xfId="0" applyNumberFormat="1" applyFont="1" applyBorder="1"/>
    <xf numFmtId="10" fontId="8" fillId="0" borderId="24" xfId="0" applyNumberFormat="1" applyFont="1" applyBorder="1"/>
    <xf numFmtId="43" fontId="0" fillId="0" borderId="0" xfId="0" applyNumberFormat="1"/>
    <xf numFmtId="169" fontId="0" fillId="0" borderId="0" xfId="0" applyNumberFormat="1"/>
    <xf numFmtId="0" fontId="8" fillId="0" borderId="0" xfId="0" applyFont="1"/>
    <xf numFmtId="10" fontId="2" fillId="0" borderId="0" xfId="0" applyNumberFormat="1" applyFont="1"/>
    <xf numFmtId="10" fontId="8" fillId="0" borderId="0" xfId="2" applyNumberFormat="1" applyFont="1"/>
    <xf numFmtId="0" fontId="0" fillId="0" borderId="0" xfId="0" applyProtection="1">
      <protection hidden="1"/>
    </xf>
    <xf numFmtId="0" fontId="8" fillId="6" borderId="51" xfId="0" applyFont="1" applyFill="1" applyBorder="1"/>
    <xf numFmtId="0" fontId="8" fillId="6" borderId="52" xfId="0" applyFont="1" applyFill="1" applyBorder="1"/>
    <xf numFmtId="0" fontId="0" fillId="6" borderId="52" xfId="0" applyFill="1" applyBorder="1"/>
    <xf numFmtId="0" fontId="0" fillId="6" borderId="53" xfId="0" applyFill="1" applyBorder="1"/>
    <xf numFmtId="0" fontId="8" fillId="6" borderId="54" xfId="0" applyFont="1" applyFill="1" applyBorder="1"/>
    <xf numFmtId="0" fontId="8" fillId="6" borderId="0" xfId="0" applyFont="1" applyFill="1" applyBorder="1"/>
    <xf numFmtId="0" fontId="0" fillId="6" borderId="0" xfId="0" applyFill="1" applyBorder="1"/>
    <xf numFmtId="0" fontId="0" fillId="6" borderId="9" xfId="0" applyFill="1" applyBorder="1"/>
    <xf numFmtId="0" fontId="8" fillId="6" borderId="45" xfId="0" applyFont="1" applyFill="1" applyBorder="1"/>
    <xf numFmtId="0" fontId="8" fillId="6" borderId="15" xfId="0" applyFont="1" applyFill="1" applyBorder="1"/>
    <xf numFmtId="0" fontId="9" fillId="6" borderId="15" xfId="0" applyFont="1" applyFill="1" applyBorder="1"/>
    <xf numFmtId="0" fontId="0" fillId="6" borderId="15" xfId="0" applyFill="1" applyBorder="1"/>
    <xf numFmtId="0" fontId="0" fillId="6" borderId="7" xfId="0" applyFill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33" xfId="1" applyNumberFormat="1" applyFont="1" applyBorder="1"/>
    <xf numFmtId="164" fontId="0" fillId="0" borderId="29" xfId="1" applyNumberFormat="1" applyFont="1" applyBorder="1"/>
    <xf numFmtId="164" fontId="0" fillId="0" borderId="18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164" fontId="0" fillId="0" borderId="61" xfId="0" applyNumberFormat="1" applyBorder="1"/>
    <xf numFmtId="164" fontId="0" fillId="0" borderId="62" xfId="0" applyNumberFormat="1" applyBorder="1"/>
    <xf numFmtId="164" fontId="0" fillId="0" borderId="63" xfId="0" applyNumberFormat="1" applyBorder="1"/>
    <xf numFmtId="9" fontId="0" fillId="0" borderId="30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164" fontId="0" fillId="0" borderId="0" xfId="0" applyNumberFormat="1" applyFill="1" applyBorder="1"/>
    <xf numFmtId="0" fontId="12" fillId="2" borderId="5" xfId="0" applyFont="1" applyFill="1" applyBorder="1" applyAlignment="1">
      <alignment horizontal="center" vertical="center" wrapText="1"/>
    </xf>
    <xf numFmtId="0" fontId="12" fillId="2" borderId="34" xfId="0" applyFont="1" applyFill="1" applyBorder="1"/>
    <xf numFmtId="0" fontId="12" fillId="2" borderId="58" xfId="0" applyFont="1" applyFill="1" applyBorder="1"/>
    <xf numFmtId="0" fontId="12" fillId="2" borderId="8" xfId="0" applyFont="1" applyFill="1" applyBorder="1"/>
    <xf numFmtId="164" fontId="0" fillId="9" borderId="3" xfId="0" applyNumberFormat="1" applyFill="1" applyBorder="1"/>
    <xf numFmtId="0" fontId="12" fillId="9" borderId="5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0" xfId="0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0" fillId="0" borderId="29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23" xfId="1" applyNumberFormat="1" applyFont="1" applyBorder="1" applyAlignment="1">
      <alignment horizontal="center"/>
    </xf>
    <xf numFmtId="0" fontId="2" fillId="2" borderId="1" xfId="0" applyFont="1" applyFill="1" applyBorder="1"/>
    <xf numFmtId="0" fontId="12" fillId="8" borderId="37" xfId="0" applyFont="1" applyFill="1" applyBorder="1"/>
    <xf numFmtId="0" fontId="0" fillId="3" borderId="36" xfId="0" applyFill="1" applyBorder="1"/>
    <xf numFmtId="164" fontId="0" fillId="8" borderId="37" xfId="0" applyNumberFormat="1" applyFill="1" applyBorder="1"/>
    <xf numFmtId="0" fontId="0" fillId="0" borderId="29" xfId="0" applyBorder="1" applyAlignment="1">
      <alignment horizontal="center"/>
    </xf>
    <xf numFmtId="164" fontId="0" fillId="9" borderId="29" xfId="0" applyNumberFormat="1" applyFill="1" applyBorder="1"/>
    <xf numFmtId="0" fontId="0" fillId="0" borderId="23" xfId="0" applyBorder="1" applyAlignment="1">
      <alignment horizontal="center"/>
    </xf>
    <xf numFmtId="164" fontId="0" fillId="9" borderId="23" xfId="0" applyNumberFormat="1" applyFill="1" applyBorder="1"/>
    <xf numFmtId="10" fontId="0" fillId="0" borderId="43" xfId="0" applyNumberFormat="1" applyBorder="1"/>
    <xf numFmtId="0" fontId="12" fillId="11" borderId="34" xfId="0" applyFont="1" applyFill="1" applyBorder="1"/>
    <xf numFmtId="0" fontId="12" fillId="11" borderId="8" xfId="0" applyFont="1" applyFill="1" applyBorder="1"/>
    <xf numFmtId="0" fontId="0" fillId="0" borderId="67" xfId="0" quotePrefix="1" applyBorder="1" applyAlignment="1">
      <alignment horizontal="center"/>
    </xf>
    <xf numFmtId="0" fontId="0" fillId="0" borderId="68" xfId="0" quotePrefix="1" applyBorder="1" applyAlignment="1">
      <alignment horizontal="center"/>
    </xf>
    <xf numFmtId="164" fontId="0" fillId="11" borderId="34" xfId="0" applyNumberFormat="1" applyFill="1" applyBorder="1"/>
    <xf numFmtId="164" fontId="0" fillId="11" borderId="8" xfId="0" applyNumberFormat="1" applyFill="1" applyBorder="1"/>
    <xf numFmtId="1" fontId="0" fillId="0" borderId="44" xfId="0" applyNumberFormat="1" applyBorder="1" applyAlignment="1">
      <alignment horizontal="center"/>
    </xf>
    <xf numFmtId="0" fontId="12" fillId="0" borderId="64" xfId="0" applyFont="1" applyBorder="1"/>
    <xf numFmtId="0" fontId="12" fillId="2" borderId="1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12" borderId="37" xfId="0" applyFont="1" applyFill="1" applyBorder="1"/>
    <xf numFmtId="0" fontId="2" fillId="12" borderId="39" xfId="0" applyFont="1" applyFill="1" applyBorder="1" applyAlignment="1" applyProtection="1">
      <alignment horizontal="center" vertical="center"/>
      <protection locked="0"/>
    </xf>
    <xf numFmtId="0" fontId="2" fillId="12" borderId="41" xfId="0" applyFont="1" applyFill="1" applyBorder="1" applyAlignment="1" applyProtection="1">
      <alignment horizontal="center" vertical="center"/>
      <protection locked="0"/>
    </xf>
    <xf numFmtId="0" fontId="2" fillId="12" borderId="41" xfId="0" applyFont="1" applyFill="1" applyBorder="1" applyAlignment="1" applyProtection="1">
      <alignment horizontal="center" vertical="center" wrapText="1"/>
      <protection locked="0"/>
    </xf>
    <xf numFmtId="0" fontId="2" fillId="12" borderId="38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left"/>
      <protection locked="0"/>
    </xf>
    <xf numFmtId="0" fontId="2" fillId="0" borderId="43" xfId="0" applyFont="1" applyFill="1" applyBorder="1" applyAlignment="1" applyProtection="1">
      <alignment horizontal="right"/>
      <protection locked="0"/>
    </xf>
    <xf numFmtId="0" fontId="2" fillId="0" borderId="29" xfId="0" applyFont="1" applyFill="1" applyBorder="1" applyAlignment="1" applyProtection="1">
      <alignment horizontal="right"/>
      <protection locked="0"/>
    </xf>
    <xf numFmtId="0" fontId="2" fillId="0" borderId="30" xfId="0" applyFont="1" applyFill="1" applyBorder="1" applyAlignment="1" applyProtection="1">
      <alignment horizontal="right"/>
      <protection locked="0"/>
    </xf>
    <xf numFmtId="0" fontId="1" fillId="0" borderId="59" xfId="0" applyFont="1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right"/>
      <protection locked="0"/>
    </xf>
    <xf numFmtId="0" fontId="0" fillId="0" borderId="50" xfId="0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5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0" fillId="9" borderId="7" xfId="0" applyFill="1" applyBorder="1" applyAlignment="1" applyProtection="1">
      <alignment horizontal="right"/>
      <protection locked="0"/>
    </xf>
    <xf numFmtId="0" fontId="0" fillId="9" borderId="2" xfId="0" applyFill="1" applyBorder="1" applyAlignment="1" applyProtection="1">
      <alignment horizontal="right"/>
      <protection locked="0"/>
    </xf>
    <xf numFmtId="0" fontId="0" fillId="10" borderId="2" xfId="0" applyFill="1" applyBorder="1" applyAlignment="1" applyProtection="1">
      <alignment horizontal="right"/>
      <protection locked="0"/>
    </xf>
    <xf numFmtId="0" fontId="0" fillId="9" borderId="27" xfId="0" applyFill="1" applyBorder="1" applyAlignment="1" applyProtection="1">
      <alignment horizontal="right"/>
      <protection locked="0"/>
    </xf>
    <xf numFmtId="0" fontId="1" fillId="0" borderId="58" xfId="0" applyFont="1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right"/>
      <protection locked="0"/>
    </xf>
    <xf numFmtId="0" fontId="0" fillId="8" borderId="7" xfId="0" applyFill="1" applyBorder="1" applyAlignment="1" applyProtection="1">
      <alignment horizontal="right"/>
      <protection locked="0"/>
    </xf>
    <xf numFmtId="0" fontId="0" fillId="8" borderId="2" xfId="0" applyFill="1" applyBorder="1" applyAlignment="1" applyProtection="1">
      <alignment horizontal="right"/>
      <protection locked="0"/>
    </xf>
    <xf numFmtId="0" fontId="0" fillId="13" borderId="2" xfId="0" applyFill="1" applyBorder="1" applyAlignment="1" applyProtection="1">
      <alignment horizontal="right"/>
      <protection locked="0"/>
    </xf>
    <xf numFmtId="0" fontId="0" fillId="8" borderId="27" xfId="0" applyFill="1" applyBorder="1" applyAlignment="1" applyProtection="1">
      <alignment horizontal="right"/>
      <protection locked="0"/>
    </xf>
    <xf numFmtId="0" fontId="1" fillId="0" borderId="58" xfId="0" applyFont="1" applyFill="1" applyBorder="1" applyAlignment="1" applyProtection="1">
      <alignment horizontal="left"/>
      <protection locked="0"/>
    </xf>
    <xf numFmtId="0" fontId="0" fillId="9" borderId="56" xfId="0" applyFill="1" applyBorder="1" applyAlignment="1" applyProtection="1">
      <alignment horizontal="right"/>
      <protection locked="0"/>
    </xf>
    <xf numFmtId="0" fontId="0" fillId="9" borderId="1" xfId="0" applyFill="1" applyBorder="1" applyAlignment="1" applyProtection="1">
      <alignment horizontal="right"/>
      <protection locked="0"/>
    </xf>
    <xf numFmtId="0" fontId="0" fillId="10" borderId="1" xfId="0" applyFill="1" applyBorder="1" applyAlignment="1" applyProtection="1">
      <alignment horizontal="right"/>
      <protection locked="0"/>
    </xf>
    <xf numFmtId="0" fontId="0" fillId="9" borderId="19" xfId="0" applyFill="1" applyBorder="1" applyAlignment="1" applyProtection="1">
      <alignment horizontal="right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0" fontId="2" fillId="2" borderId="69" xfId="0" applyFont="1" applyFill="1" applyBorder="1" applyAlignment="1" applyProtection="1">
      <alignment horizontal="right"/>
      <protection locked="0"/>
    </xf>
    <xf numFmtId="0" fontId="2" fillId="2" borderId="65" xfId="0" applyFont="1" applyFill="1" applyBorder="1" applyAlignment="1" applyProtection="1">
      <alignment horizontal="right"/>
      <protection locked="0"/>
    </xf>
    <xf numFmtId="0" fontId="2" fillId="2" borderId="66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wrapText="1"/>
    </xf>
    <xf numFmtId="0" fontId="0" fillId="0" borderId="50" xfId="0" applyFill="1" applyBorder="1" applyAlignment="1">
      <alignment horizontal="center"/>
    </xf>
    <xf numFmtId="0" fontId="0" fillId="10" borderId="1" xfId="0" applyFill="1" applyBorder="1"/>
    <xf numFmtId="1" fontId="0" fillId="9" borderId="1" xfId="0" applyNumberFormat="1" applyFill="1" applyBorder="1"/>
    <xf numFmtId="0" fontId="0" fillId="0" borderId="2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13" borderId="1" xfId="0" applyFill="1" applyBorder="1"/>
    <xf numFmtId="1" fontId="0" fillId="8" borderId="1" xfId="0" applyNumberFormat="1" applyFill="1" applyBorder="1"/>
    <xf numFmtId="164" fontId="0" fillId="8" borderId="65" xfId="0" applyNumberFormat="1" applyFill="1" applyBorder="1"/>
    <xf numFmtId="164" fontId="0" fillId="11" borderId="66" xfId="0" applyNumberFormat="1" applyFill="1" applyBorder="1"/>
    <xf numFmtId="0" fontId="13" fillId="0" borderId="0" xfId="0" applyFont="1"/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164" fontId="8" fillId="0" borderId="0" xfId="1" applyNumberFormat="1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170" fontId="0" fillId="0" borderId="0" xfId="0" applyNumberFormat="1" applyProtection="1">
      <protection hidden="1"/>
    </xf>
    <xf numFmtId="0" fontId="16" fillId="0" borderId="50" xfId="0" applyFont="1" applyBorder="1"/>
    <xf numFmtId="0" fontId="16" fillId="0" borderId="2" xfId="0" applyFont="1" applyBorder="1"/>
    <xf numFmtId="3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3" fontId="16" fillId="0" borderId="1" xfId="0" applyNumberFormat="1" applyFont="1" applyBorder="1"/>
    <xf numFmtId="0" fontId="12" fillId="2" borderId="25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4" fontId="13" fillId="0" borderId="7" xfId="1" applyNumberFormat="1" applyFont="1" applyFill="1" applyBorder="1"/>
    <xf numFmtId="164" fontId="13" fillId="0" borderId="2" xfId="0" applyNumberFormat="1" applyFont="1" applyFill="1" applyBorder="1"/>
    <xf numFmtId="164" fontId="13" fillId="0" borderId="27" xfId="0" applyNumberFormat="1" applyFont="1" applyFill="1" applyBorder="1"/>
    <xf numFmtId="164" fontId="13" fillId="0" borderId="56" xfId="0" applyNumberFormat="1" applyFont="1" applyFill="1" applyBorder="1"/>
    <xf numFmtId="164" fontId="13" fillId="0" borderId="1" xfId="0" applyNumberFormat="1" applyFont="1" applyFill="1" applyBorder="1"/>
    <xf numFmtId="164" fontId="13" fillId="0" borderId="19" xfId="0" applyNumberFormat="1" applyFont="1" applyFill="1" applyBorder="1"/>
    <xf numFmtId="0" fontId="12" fillId="2" borderId="59" xfId="0" applyFont="1" applyFill="1" applyBorder="1"/>
    <xf numFmtId="164" fontId="13" fillId="0" borderId="53" xfId="0" applyNumberFormat="1" applyFont="1" applyFill="1" applyBorder="1"/>
    <xf numFmtId="164" fontId="13" fillId="0" borderId="50" xfId="0" applyNumberFormat="1" applyFont="1" applyFill="1" applyBorder="1"/>
    <xf numFmtId="164" fontId="13" fillId="0" borderId="48" xfId="0" applyNumberFormat="1" applyFont="1" applyFill="1" applyBorder="1"/>
    <xf numFmtId="171" fontId="13" fillId="0" borderId="69" xfId="0" applyNumberFormat="1" applyFont="1" applyFill="1" applyBorder="1" applyAlignment="1">
      <alignment horizontal="center"/>
    </xf>
    <xf numFmtId="171" fontId="13" fillId="0" borderId="65" xfId="0" applyNumberFormat="1" applyFont="1" applyFill="1" applyBorder="1" applyAlignment="1">
      <alignment horizontal="center"/>
    </xf>
    <xf numFmtId="171" fontId="13" fillId="0" borderId="66" xfId="0" applyNumberFormat="1" applyFont="1" applyFill="1" applyBorder="1" applyAlignment="1">
      <alignment horizontal="center"/>
    </xf>
    <xf numFmtId="1" fontId="12" fillId="2" borderId="55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15" borderId="26" xfId="0" applyFont="1" applyFill="1" applyBorder="1" applyAlignment="1">
      <alignment horizontal="center"/>
    </xf>
    <xf numFmtId="0" fontId="13" fillId="15" borderId="2" xfId="0" applyFont="1" applyFill="1" applyBorder="1"/>
    <xf numFmtId="14" fontId="13" fillId="15" borderId="2" xfId="0" applyNumberFormat="1" applyFont="1" applyFill="1" applyBorder="1"/>
    <xf numFmtId="14" fontId="13" fillId="15" borderId="27" xfId="0" applyNumberFormat="1" applyFont="1" applyFill="1" applyBorder="1"/>
    <xf numFmtId="14" fontId="0" fillId="0" borderId="40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0" fontId="13" fillId="15" borderId="1" xfId="0" applyFont="1" applyFill="1" applyBorder="1"/>
    <xf numFmtId="14" fontId="13" fillId="15" borderId="1" xfId="0" applyNumberFormat="1" applyFont="1" applyFill="1" applyBorder="1"/>
    <xf numFmtId="14" fontId="13" fillId="15" borderId="19" xfId="0" applyNumberFormat="1" applyFont="1" applyFill="1" applyBorder="1"/>
    <xf numFmtId="14" fontId="0" fillId="0" borderId="28" xfId="0" applyNumberFormat="1" applyFill="1" applyBorder="1" applyAlignment="1">
      <alignment horizontal="center"/>
    </xf>
    <xf numFmtId="0" fontId="13" fillId="15" borderId="18" xfId="0" applyFont="1" applyFill="1" applyBorder="1" applyAlignment="1">
      <alignment horizontal="center"/>
    </xf>
    <xf numFmtId="0" fontId="13" fillId="16" borderId="18" xfId="0" applyFont="1" applyFill="1" applyBorder="1" applyAlignment="1">
      <alignment horizontal="center"/>
    </xf>
    <xf numFmtId="0" fontId="13" fillId="16" borderId="1" xfId="0" applyFont="1" applyFill="1" applyBorder="1"/>
    <xf numFmtId="14" fontId="13" fillId="16" borderId="1" xfId="0" applyNumberFormat="1" applyFont="1" applyFill="1" applyBorder="1"/>
    <xf numFmtId="14" fontId="13" fillId="16" borderId="19" xfId="0" applyNumberFormat="1" applyFont="1" applyFill="1" applyBorder="1"/>
    <xf numFmtId="0" fontId="13" fillId="0" borderId="18" xfId="0" applyFont="1" applyFill="1" applyBorder="1" applyAlignment="1">
      <alignment horizontal="center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5" borderId="19" xfId="0" applyFont="1" applyFill="1" applyBorder="1"/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3" fillId="17" borderId="18" xfId="0" applyFont="1" applyFill="1" applyBorder="1"/>
    <xf numFmtId="0" fontId="12" fillId="17" borderId="1" xfId="0" applyFont="1" applyFill="1" applyBorder="1"/>
    <xf numFmtId="0" fontId="21" fillId="0" borderId="18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47" xfId="0" applyFont="1" applyFill="1" applyBorder="1" applyAlignment="1">
      <alignment horizontal="center"/>
    </xf>
    <xf numFmtId="0" fontId="21" fillId="0" borderId="50" xfId="0" applyFont="1" applyFill="1" applyBorder="1"/>
    <xf numFmtId="14" fontId="13" fillId="0" borderId="50" xfId="0" applyNumberFormat="1" applyFont="1" applyFill="1" applyBorder="1"/>
    <xf numFmtId="0" fontId="13" fillId="5" borderId="48" xfId="0" applyFont="1" applyFill="1" applyBorder="1"/>
    <xf numFmtId="0" fontId="0" fillId="0" borderId="49" xfId="0" applyFill="1" applyBorder="1" applyAlignment="1">
      <alignment horizontal="center"/>
    </xf>
    <xf numFmtId="0" fontId="21" fillId="17" borderId="18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" xfId="0" applyFont="1" applyBorder="1"/>
    <xf numFmtId="14" fontId="13" fillId="0" borderId="1" xfId="0" applyNumberFormat="1" applyFont="1" applyBorder="1"/>
    <xf numFmtId="14" fontId="13" fillId="0" borderId="19" xfId="0" applyNumberFormat="1" applyFont="1" applyBorder="1"/>
    <xf numFmtId="0" fontId="21" fillId="0" borderId="47" xfId="0" applyFont="1" applyBorder="1" applyAlignment="1">
      <alignment horizontal="center"/>
    </xf>
    <xf numFmtId="0" fontId="21" fillId="0" borderId="50" xfId="0" applyFont="1" applyBorder="1"/>
    <xf numFmtId="14" fontId="13" fillId="0" borderId="50" xfId="0" applyNumberFormat="1" applyFont="1" applyBorder="1"/>
    <xf numFmtId="14" fontId="13" fillId="5" borderId="48" xfId="0" applyNumberFormat="1" applyFont="1" applyFill="1" applyBorder="1"/>
    <xf numFmtId="14" fontId="0" fillId="0" borderId="49" xfId="0" applyNumberFormat="1" applyFill="1" applyBorder="1" applyAlignment="1">
      <alignment horizontal="center"/>
    </xf>
    <xf numFmtId="0" fontId="21" fillId="10" borderId="18" xfId="0" applyFont="1" applyFill="1" applyBorder="1" applyAlignment="1">
      <alignment horizontal="center"/>
    </xf>
    <xf numFmtId="0" fontId="13" fillId="10" borderId="1" xfId="0" applyFont="1" applyFill="1" applyBorder="1"/>
    <xf numFmtId="0" fontId="13" fillId="5" borderId="19" xfId="0" quotePrefix="1" applyFont="1" applyFill="1" applyBorder="1"/>
    <xf numFmtId="0" fontId="0" fillId="0" borderId="28" xfId="0" quotePrefix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13" fillId="0" borderId="19" xfId="0" applyNumberFormat="1" applyFont="1" applyFill="1" applyBorder="1"/>
    <xf numFmtId="14" fontId="13" fillId="0" borderId="1" xfId="0" applyNumberFormat="1" applyFont="1" applyFill="1" applyBorder="1" applyAlignment="1">
      <alignment horizontal="center"/>
    </xf>
    <xf numFmtId="14" fontId="13" fillId="0" borderId="19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9" xfId="0" applyFont="1" applyFill="1" applyBorder="1"/>
    <xf numFmtId="0" fontId="21" fillId="0" borderId="22" xfId="0" applyFont="1" applyBorder="1" applyAlignment="1">
      <alignment horizontal="center"/>
    </xf>
    <xf numFmtId="0" fontId="21" fillId="0" borderId="23" xfId="0" applyFont="1" applyBorder="1"/>
    <xf numFmtId="0" fontId="0" fillId="0" borderId="31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2" fillId="8" borderId="25" xfId="0" applyFont="1" applyFill="1" applyBorder="1" applyAlignment="1"/>
    <xf numFmtId="0" fontId="13" fillId="5" borderId="1" xfId="0" applyFont="1" applyFill="1" applyBorder="1"/>
    <xf numFmtId="1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64" fontId="0" fillId="0" borderId="0" xfId="1" applyNumberFormat="1" applyFont="1" applyFill="1" applyAlignment="1"/>
    <xf numFmtId="164" fontId="0" fillId="10" borderId="1" xfId="1" applyNumberFormat="1" applyFont="1" applyFill="1" applyBorder="1" applyAlignment="1"/>
    <xf numFmtId="0" fontId="13" fillId="5" borderId="18" xfId="0" applyFont="1" applyFill="1" applyBorder="1"/>
    <xf numFmtId="1" fontId="0" fillId="10" borderId="19" xfId="0" applyNumberFormat="1" applyFill="1" applyBorder="1" applyAlignment="1">
      <alignment horizontal="right"/>
    </xf>
    <xf numFmtId="2" fontId="0" fillId="10" borderId="19" xfId="0" applyNumberFormat="1" applyFill="1" applyBorder="1" applyAlignment="1">
      <alignment horizontal="right"/>
    </xf>
    <xf numFmtId="164" fontId="0" fillId="10" borderId="19" xfId="1" applyNumberFormat="1" applyFont="1" applyFill="1" applyBorder="1" applyAlignment="1">
      <alignment horizontal="right"/>
    </xf>
    <xf numFmtId="0" fontId="0" fillId="10" borderId="19" xfId="0" applyFill="1" applyBorder="1" applyAlignment="1">
      <alignment horizontal="right"/>
    </xf>
    <xf numFmtId="0" fontId="13" fillId="10" borderId="22" xfId="0" applyFont="1" applyFill="1" applyBorder="1"/>
    <xf numFmtId="164" fontId="0" fillId="10" borderId="23" xfId="1" applyNumberFormat="1" applyFont="1" applyFill="1" applyBorder="1" applyAlignment="1">
      <alignment horizontal="right"/>
    </xf>
    <xf numFmtId="1" fontId="0" fillId="10" borderId="23" xfId="0" applyNumberFormat="1" applyFill="1" applyBorder="1" applyAlignment="1">
      <alignment horizontal="right"/>
    </xf>
    <xf numFmtId="164" fontId="0" fillId="18" borderId="24" xfId="1" applyNumberFormat="1" applyFont="1" applyFill="1" applyBorder="1" applyAlignment="1">
      <alignment horizontal="right"/>
    </xf>
    <xf numFmtId="0" fontId="20" fillId="5" borderId="4" xfId="0" applyFont="1" applyFill="1" applyBorder="1" applyAlignment="1"/>
    <xf numFmtId="0" fontId="20" fillId="5" borderId="5" xfId="0" applyFont="1" applyFill="1" applyBorder="1"/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/>
    </xf>
    <xf numFmtId="0" fontId="13" fillId="0" borderId="50" xfId="0" applyFont="1" applyFill="1" applyBorder="1"/>
    <xf numFmtId="0" fontId="0" fillId="0" borderId="48" xfId="0" applyFill="1" applyBorder="1" applyAlignment="1">
      <alignment horizontal="center"/>
    </xf>
    <xf numFmtId="0" fontId="12" fillId="16" borderId="26" xfId="0" applyFont="1" applyFill="1" applyBorder="1" applyAlignment="1">
      <alignment horizontal="center"/>
    </xf>
    <xf numFmtId="0" fontId="12" fillId="16" borderId="2" xfId="0" applyFont="1" applyFill="1" applyBorder="1"/>
    <xf numFmtId="14" fontId="12" fillId="16" borderId="2" xfId="0" applyNumberFormat="1" applyFont="1" applyFill="1" applyBorder="1"/>
    <xf numFmtId="14" fontId="12" fillId="16" borderId="27" xfId="0" applyNumberFormat="1" applyFont="1" applyFill="1" applyBorder="1"/>
    <xf numFmtId="0" fontId="0" fillId="8" borderId="33" xfId="0" applyFill="1" applyBorder="1"/>
    <xf numFmtId="0" fontId="12" fillId="8" borderId="29" xfId="0" applyFont="1" applyFill="1" applyBorder="1" applyAlignment="1">
      <alignment horizontal="left" wrapText="1"/>
    </xf>
    <xf numFmtId="14" fontId="2" fillId="8" borderId="29" xfId="0" applyNumberFormat="1" applyFont="1" applyFill="1" applyBorder="1"/>
    <xf numFmtId="14" fontId="2" fillId="8" borderId="30" xfId="0" applyNumberFormat="1" applyFont="1" applyFill="1" applyBorder="1"/>
    <xf numFmtId="0" fontId="13" fillId="5" borderId="24" xfId="0" applyFont="1" applyFill="1" applyBorder="1"/>
    <xf numFmtId="164" fontId="5" fillId="0" borderId="26" xfId="1" applyNumberFormat="1" applyFont="1" applyBorder="1" applyAlignment="1"/>
    <xf numFmtId="164" fontId="5" fillId="0" borderId="2" xfId="1" applyNumberFormat="1" applyFont="1" applyBorder="1" applyAlignment="1"/>
    <xf numFmtId="164" fontId="5" fillId="0" borderId="2" xfId="1" applyNumberFormat="1" applyFont="1" applyFill="1" applyBorder="1" applyAlignment="1"/>
    <xf numFmtId="164" fontId="5" fillId="0" borderId="27" xfId="1" applyNumberFormat="1" applyFont="1" applyBorder="1" applyAlignment="1"/>
    <xf numFmtId="10" fontId="0" fillId="0" borderId="1" xfId="2" applyNumberFormat="1" applyFont="1" applyFill="1" applyBorder="1" applyAlignment="1">
      <alignment horizontal="right"/>
    </xf>
    <xf numFmtId="10" fontId="0" fillId="0" borderId="19" xfId="2" applyNumberFormat="1" applyFont="1" applyFill="1" applyBorder="1" applyAlignment="1">
      <alignment horizontal="right"/>
    </xf>
    <xf numFmtId="0" fontId="17" fillId="0" borderId="0" xfId="0" applyFont="1"/>
    <xf numFmtId="164" fontId="17" fillId="0" borderId="0" xfId="0" applyNumberFormat="1" applyFont="1"/>
    <xf numFmtId="0" fontId="13" fillId="0" borderId="33" xfId="0" applyFont="1" applyFill="1" applyBorder="1"/>
    <xf numFmtId="3" fontId="13" fillId="2" borderId="29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0" fontId="13" fillId="0" borderId="18" xfId="0" applyFont="1" applyFill="1" applyBorder="1"/>
    <xf numFmtId="3" fontId="13" fillId="2" borderId="1" xfId="0" applyNumberFormat="1" applyFont="1" applyFill="1" applyBorder="1"/>
    <xf numFmtId="3" fontId="13" fillId="0" borderId="1" xfId="0" applyNumberFormat="1" applyFont="1" applyFill="1" applyBorder="1"/>
    <xf numFmtId="3" fontId="13" fillId="0" borderId="19" xfId="0" applyNumberFormat="1" applyFont="1" applyFill="1" applyBorder="1"/>
    <xf numFmtId="0" fontId="12" fillId="2" borderId="18" xfId="0" applyFont="1" applyFill="1" applyBorder="1"/>
    <xf numFmtId="3" fontId="13" fillId="2" borderId="19" xfId="0" applyNumberFormat="1" applyFont="1" applyFill="1" applyBorder="1"/>
    <xf numFmtId="3" fontId="13" fillId="0" borderId="18" xfId="0" applyNumberFormat="1" applyFont="1" applyFill="1" applyBorder="1"/>
    <xf numFmtId="3" fontId="13" fillId="3" borderId="1" xfId="0" applyNumberFormat="1" applyFont="1" applyFill="1" applyBorder="1"/>
    <xf numFmtId="164" fontId="13" fillId="5" borderId="1" xfId="1" applyNumberFormat="1" applyFont="1" applyFill="1" applyBorder="1"/>
    <xf numFmtId="164" fontId="13" fillId="5" borderId="19" xfId="1" applyNumberFormat="1" applyFont="1" applyFill="1" applyBorder="1"/>
    <xf numFmtId="164" fontId="13" fillId="2" borderId="1" xfId="1" applyNumberFormat="1" applyFont="1" applyFill="1" applyBorder="1"/>
    <xf numFmtId="164" fontId="13" fillId="3" borderId="1" xfId="1" applyNumberFormat="1" applyFont="1" applyFill="1" applyBorder="1"/>
    <xf numFmtId="0" fontId="13" fillId="0" borderId="47" xfId="0" applyFont="1" applyFill="1" applyBorder="1"/>
    <xf numFmtId="0" fontId="12" fillId="2" borderId="4" xfId="0" applyFont="1" applyFill="1" applyBorder="1"/>
    <xf numFmtId="164" fontId="13" fillId="2" borderId="19" xfId="1" applyNumberFormat="1" applyFont="1" applyFill="1" applyBorder="1"/>
    <xf numFmtId="0" fontId="13" fillId="0" borderId="20" xfId="0" applyFont="1" applyFill="1" applyBorder="1"/>
    <xf numFmtId="164" fontId="13" fillId="2" borderId="23" xfId="1" applyNumberFormat="1" applyFont="1" applyFill="1" applyBorder="1"/>
    <xf numFmtId="164" fontId="13" fillId="2" borderId="24" xfId="1" applyNumberFormat="1" applyFont="1" applyFill="1" applyBorder="1"/>
    <xf numFmtId="0" fontId="12" fillId="2" borderId="3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57" xfId="0" applyFont="1" applyFill="1" applyBorder="1"/>
    <xf numFmtId="164" fontId="13" fillId="2" borderId="26" xfId="0" applyNumberFormat="1" applyFont="1" applyFill="1" applyBorder="1"/>
    <xf numFmtId="164" fontId="13" fillId="2" borderId="2" xfId="0" applyNumberFormat="1" applyFont="1" applyFill="1" applyBorder="1"/>
    <xf numFmtId="164" fontId="13" fillId="2" borderId="27" xfId="0" applyNumberFormat="1" applyFont="1" applyFill="1" applyBorder="1"/>
    <xf numFmtId="0" fontId="12" fillId="0" borderId="58" xfId="0" applyFont="1" applyBorder="1"/>
    <xf numFmtId="3" fontId="13" fillId="0" borderId="18" xfId="0" applyNumberFormat="1" applyFont="1" applyBorder="1"/>
    <xf numFmtId="3" fontId="13" fillId="0" borderId="1" xfId="0" applyNumberFormat="1" applyFont="1" applyBorder="1"/>
    <xf numFmtId="3" fontId="13" fillId="0" borderId="19" xfId="0" applyNumberFormat="1" applyFont="1" applyBorder="1"/>
    <xf numFmtId="164" fontId="13" fillId="0" borderId="18" xfId="0" applyNumberFormat="1" applyFont="1" applyBorder="1"/>
    <xf numFmtId="164" fontId="13" fillId="0" borderId="1" xfId="0" applyNumberFormat="1" applyFont="1" applyBorder="1"/>
    <xf numFmtId="164" fontId="13" fillId="0" borderId="19" xfId="0" applyNumberFormat="1" applyFont="1" applyBorder="1"/>
    <xf numFmtId="164" fontId="13" fillId="2" borderId="47" xfId="0" applyNumberFormat="1" applyFont="1" applyFill="1" applyBorder="1"/>
    <xf numFmtId="164" fontId="13" fillId="2" borderId="50" xfId="0" applyNumberFormat="1" applyFont="1" applyFill="1" applyBorder="1"/>
    <xf numFmtId="164" fontId="13" fillId="2" borderId="48" xfId="0" applyNumberFormat="1" applyFont="1" applyFill="1" applyBorder="1"/>
    <xf numFmtId="0" fontId="23" fillId="2" borderId="4" xfId="0" applyFont="1" applyFill="1" applyBorder="1" applyAlignment="1">
      <alignment horizontal="center" vertical="center"/>
    </xf>
    <xf numFmtId="173" fontId="0" fillId="0" borderId="0" xfId="0" applyNumberFormat="1"/>
    <xf numFmtId="0" fontId="12" fillId="2" borderId="37" xfId="0" applyFont="1" applyFill="1" applyBorder="1"/>
    <xf numFmtId="0" fontId="24" fillId="2" borderId="25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13" fillId="5" borderId="3" xfId="0" applyFont="1" applyFill="1" applyBorder="1"/>
    <xf numFmtId="10" fontId="13" fillId="5" borderId="4" xfId="0" applyNumberFormat="1" applyFont="1" applyFill="1" applyBorder="1" applyAlignment="1">
      <alignment horizontal="center"/>
    </xf>
    <xf numFmtId="10" fontId="13" fillId="5" borderId="5" xfId="0" applyNumberFormat="1" applyFont="1" applyFill="1" applyBorder="1" applyAlignment="1">
      <alignment horizontal="center"/>
    </xf>
    <xf numFmtId="10" fontId="13" fillId="5" borderId="6" xfId="0" applyNumberFormat="1" applyFont="1" applyFill="1" applyBorder="1" applyAlignment="1">
      <alignment horizontal="center"/>
    </xf>
    <xf numFmtId="0" fontId="13" fillId="0" borderId="34" xfId="0" applyFont="1" applyFill="1" applyBorder="1"/>
    <xf numFmtId="10" fontId="13" fillId="0" borderId="33" xfId="0" applyNumberFormat="1" applyFont="1" applyFill="1" applyBorder="1" applyAlignment="1">
      <alignment horizontal="center"/>
    </xf>
    <xf numFmtId="10" fontId="13" fillId="0" borderId="29" xfId="0" applyNumberFormat="1" applyFont="1" applyFill="1" applyBorder="1" applyAlignment="1">
      <alignment horizontal="center"/>
    </xf>
    <xf numFmtId="10" fontId="13" fillId="0" borderId="30" xfId="0" applyNumberFormat="1" applyFont="1" applyFill="1" applyBorder="1" applyAlignment="1">
      <alignment horizontal="center"/>
    </xf>
    <xf numFmtId="0" fontId="13" fillId="0" borderId="8" xfId="0" applyFont="1" applyFill="1" applyBorder="1"/>
    <xf numFmtId="10" fontId="13" fillId="0" borderId="22" xfId="0" applyNumberFormat="1" applyFont="1" applyFill="1" applyBorder="1" applyAlignment="1">
      <alignment horizontal="center"/>
    </xf>
    <xf numFmtId="10" fontId="13" fillId="0" borderId="23" xfId="0" applyNumberFormat="1" applyFont="1" applyFill="1" applyBorder="1" applyAlignment="1">
      <alignment horizontal="center"/>
    </xf>
    <xf numFmtId="10" fontId="13" fillId="0" borderId="24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1" fontId="27" fillId="6" borderId="1" xfId="0" applyNumberFormat="1" applyFont="1" applyFill="1" applyBorder="1" applyAlignment="1">
      <alignment horizontal="right"/>
    </xf>
    <xf numFmtId="1" fontId="14" fillId="7" borderId="1" xfId="0" applyNumberFormat="1" applyFont="1" applyFill="1" applyBorder="1" applyAlignment="1">
      <alignment horizontal="right"/>
    </xf>
    <xf numFmtId="1" fontId="14" fillId="6" borderId="1" xfId="0" applyNumberFormat="1" applyFont="1" applyFill="1" applyBorder="1" applyAlignment="1">
      <alignment horizontal="right"/>
    </xf>
    <xf numFmtId="0" fontId="27" fillId="6" borderId="1" xfId="0" applyFont="1" applyFill="1" applyBorder="1" applyAlignment="1">
      <alignment horizontal="right"/>
    </xf>
    <xf numFmtId="0" fontId="27" fillId="7" borderId="1" xfId="0" applyFont="1" applyFill="1" applyBorder="1" applyAlignment="1">
      <alignment horizontal="right"/>
    </xf>
    <xf numFmtId="164" fontId="27" fillId="6" borderId="1" xfId="1" applyNumberFormat="1" applyFont="1" applyFill="1" applyBorder="1" applyAlignment="1"/>
    <xf numFmtId="164" fontId="14" fillId="7" borderId="1" xfId="1" applyNumberFormat="1" applyFont="1" applyFill="1" applyBorder="1" applyAlignment="1">
      <alignment horizontal="right" vertical="center"/>
    </xf>
    <xf numFmtId="164" fontId="14" fillId="6" borderId="1" xfId="1" applyNumberFormat="1" applyFont="1" applyFill="1" applyBorder="1" applyAlignment="1">
      <alignment horizontal="right" vertical="center"/>
    </xf>
    <xf numFmtId="164" fontId="27" fillId="6" borderId="1" xfId="1" applyNumberFormat="1" applyFont="1" applyFill="1" applyBorder="1" applyAlignment="1">
      <alignment horizontal="right"/>
    </xf>
    <xf numFmtId="164" fontId="14" fillId="7" borderId="1" xfId="1" applyNumberFormat="1" applyFont="1" applyFill="1" applyBorder="1" applyAlignment="1">
      <alignment horizontal="right"/>
    </xf>
    <xf numFmtId="164" fontId="14" fillId="6" borderId="1" xfId="1" applyNumberFormat="1" applyFont="1" applyFill="1" applyBorder="1" applyAlignment="1">
      <alignment horizontal="right"/>
    </xf>
    <xf numFmtId="10" fontId="27" fillId="6" borderId="1" xfId="2" applyNumberFormat="1" applyFont="1" applyFill="1" applyBorder="1" applyAlignment="1">
      <alignment horizontal="right"/>
    </xf>
    <xf numFmtId="10" fontId="27" fillId="7" borderId="1" xfId="2" applyNumberFormat="1" applyFont="1" applyFill="1" applyBorder="1" applyAlignment="1">
      <alignment horizontal="right"/>
    </xf>
    <xf numFmtId="10" fontId="13" fillId="0" borderId="22" xfId="0" applyNumberFormat="1" applyFont="1" applyFill="1" applyBorder="1"/>
    <xf numFmtId="10" fontId="13" fillId="0" borderId="23" xfId="0" applyNumberFormat="1" applyFont="1" applyBorder="1"/>
    <xf numFmtId="10" fontId="13" fillId="0" borderId="24" xfId="0" applyNumberFormat="1" applyFont="1" applyBorder="1"/>
    <xf numFmtId="0" fontId="13" fillId="2" borderId="34" xfId="0" applyFont="1" applyFill="1" applyBorder="1"/>
    <xf numFmtId="0" fontId="13" fillId="2" borderId="58" xfId="0" applyFont="1" applyFill="1" applyBorder="1"/>
    <xf numFmtId="0" fontId="13" fillId="2" borderId="59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164" fontId="13" fillId="0" borderId="1" xfId="1" applyNumberFormat="1" applyFont="1" applyFill="1" applyBorder="1"/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72" fontId="13" fillId="0" borderId="1" xfId="2" applyNumberFormat="1" applyFont="1" applyBorder="1"/>
    <xf numFmtId="172" fontId="0" fillId="0" borderId="1" xfId="2" applyNumberFormat="1" applyFont="1" applyBorder="1"/>
    <xf numFmtId="14" fontId="13" fillId="0" borderId="23" xfId="0" applyNumberFormat="1" applyFont="1" applyBorder="1"/>
    <xf numFmtId="49" fontId="13" fillId="0" borderId="19" xfId="0" applyNumberFormat="1" applyFont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9" fillId="4" borderId="37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6" xfId="0" applyBorder="1" applyAlignment="1">
      <alignment horizontal="center"/>
    </xf>
    <xf numFmtId="0" fontId="12" fillId="2" borderId="37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/>
    </xf>
    <xf numFmtId="0" fontId="15" fillId="14" borderId="50" xfId="0" applyFont="1" applyFill="1" applyBorder="1" applyAlignment="1">
      <alignment horizontal="center"/>
    </xf>
    <xf numFmtId="3" fontId="16" fillId="0" borderId="56" xfId="0" applyNumberFormat="1" applyFont="1" applyBorder="1" applyAlignment="1">
      <alignment horizontal="right"/>
    </xf>
    <xf numFmtId="0" fontId="12" fillId="4" borderId="37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2" borderId="60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2" fillId="0" borderId="70" xfId="0" applyFont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3" fillId="17" borderId="60" xfId="0" applyFont="1" applyFill="1" applyBorder="1" applyAlignment="1">
      <alignment horizontal="center"/>
    </xf>
    <xf numFmtId="0" fontId="13" fillId="17" borderId="62" xfId="0" applyFont="1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62" xfId="0" applyFill="1" applyBorder="1" applyAlignment="1">
      <alignment horizontal="center"/>
    </xf>
    <xf numFmtId="14" fontId="13" fillId="17" borderId="60" xfId="0" applyNumberFormat="1" applyFont="1" applyFill="1" applyBorder="1" applyAlignment="1">
      <alignment horizontal="center"/>
    </xf>
    <xf numFmtId="14" fontId="13" fillId="17" borderId="62" xfId="0" applyNumberFormat="1" applyFont="1" applyFill="1" applyBorder="1" applyAlignment="1">
      <alignment horizontal="center"/>
    </xf>
    <xf numFmtId="14" fontId="0" fillId="17" borderId="28" xfId="0" applyNumberFormat="1" applyFill="1" applyBorder="1" applyAlignment="1">
      <alignment horizontal="center"/>
    </xf>
    <xf numFmtId="14" fontId="0" fillId="17" borderId="13" xfId="0" applyNumberFormat="1" applyFill="1" applyBorder="1" applyAlignment="1">
      <alignment horizontal="center"/>
    </xf>
    <xf numFmtId="14" fontId="0" fillId="17" borderId="62" xfId="0" applyNumberFormat="1" applyFill="1" applyBorder="1" applyAlignment="1">
      <alignment horizontal="center"/>
    </xf>
    <xf numFmtId="0" fontId="19" fillId="8" borderId="14" xfId="0" applyFont="1" applyFill="1" applyBorder="1" applyAlignment="1">
      <alignment horizontal="center" textRotation="90"/>
    </xf>
    <xf numFmtId="0" fontId="19" fillId="8" borderId="2" xfId="0" applyFont="1" applyFill="1" applyBorder="1" applyAlignment="1">
      <alignment horizontal="center" textRotation="90"/>
    </xf>
    <xf numFmtId="0" fontId="19" fillId="8" borderId="21" xfId="0" applyFont="1" applyFill="1" applyBorder="1" applyAlignment="1">
      <alignment horizontal="center" textRotation="90"/>
    </xf>
    <xf numFmtId="0" fontId="19" fillId="8" borderId="27" xfId="0" applyFont="1" applyFill="1" applyBorder="1" applyAlignment="1">
      <alignment horizontal="center" textRotation="90"/>
    </xf>
    <xf numFmtId="0" fontId="20" fillId="5" borderId="74" xfId="0" applyFont="1" applyFill="1" applyBorder="1" applyAlignment="1">
      <alignment horizontal="center" vertical="center"/>
    </xf>
    <xf numFmtId="0" fontId="20" fillId="5" borderId="73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72" xfId="0" applyFont="1" applyFill="1" applyBorder="1" applyAlignment="1">
      <alignment horizontal="center" vertical="center"/>
    </xf>
    <xf numFmtId="0" fontId="18" fillId="5" borderId="70" xfId="0" applyFont="1" applyFill="1" applyBorder="1" applyAlignment="1">
      <alignment horizontal="center" vertical="center"/>
    </xf>
    <xf numFmtId="0" fontId="18" fillId="5" borderId="7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textRotation="90"/>
    </xf>
    <xf numFmtId="0" fontId="19" fillId="8" borderId="26" xfId="0" applyFont="1" applyFill="1" applyBorder="1" applyAlignment="1">
      <alignment horizontal="center" textRotation="90"/>
    </xf>
    <xf numFmtId="14" fontId="0" fillId="10" borderId="28" xfId="0" applyNumberFormat="1" applyFill="1" applyBorder="1" applyAlignment="1">
      <alignment horizontal="center"/>
    </xf>
    <xf numFmtId="14" fontId="0" fillId="10" borderId="13" xfId="0" applyNumberFormat="1" applyFill="1" applyBorder="1" applyAlignment="1">
      <alignment horizontal="center"/>
    </xf>
    <xf numFmtId="14" fontId="0" fillId="10" borderId="62" xfId="0" applyNumberFormat="1" applyFill="1" applyBorder="1" applyAlignment="1">
      <alignment horizontal="center"/>
    </xf>
    <xf numFmtId="14" fontId="13" fillId="10" borderId="60" xfId="0" applyNumberFormat="1" applyFont="1" applyFill="1" applyBorder="1" applyAlignment="1">
      <alignment horizontal="center"/>
    </xf>
    <xf numFmtId="14" fontId="13" fillId="10" borderId="62" xfId="0" applyNumberFormat="1" applyFont="1" applyFill="1" applyBorder="1" applyAlignment="1">
      <alignment horizontal="center"/>
    </xf>
    <xf numFmtId="14" fontId="0" fillId="10" borderId="18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14" fontId="0" fillId="10" borderId="19" xfId="0" applyNumberForma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8" borderId="36" xfId="0" applyFont="1" applyFill="1" applyBorder="1" applyAlignment="1">
      <alignment horizontal="left"/>
    </xf>
    <xf numFmtId="0" fontId="12" fillId="8" borderId="46" xfId="0" applyFont="1" applyFill="1" applyBorder="1" applyAlignment="1">
      <alignment horizontal="left"/>
    </xf>
    <xf numFmtId="0" fontId="12" fillId="8" borderId="72" xfId="0" applyFont="1" applyFill="1" applyBorder="1" applyAlignment="1">
      <alignment horizontal="left"/>
    </xf>
    <xf numFmtId="0" fontId="12" fillId="8" borderId="70" xfId="0" applyFont="1" applyFill="1" applyBorder="1" applyAlignment="1">
      <alignment horizontal="left"/>
    </xf>
    <xf numFmtId="0" fontId="12" fillId="8" borderId="73" xfId="0" applyFont="1" applyFill="1" applyBorder="1" applyAlignment="1">
      <alignment horizontal="left"/>
    </xf>
    <xf numFmtId="0" fontId="0" fillId="2" borderId="72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3" fillId="10" borderId="60" xfId="0" applyFont="1" applyFill="1" applyBorder="1" applyAlignment="1">
      <alignment horizontal="center"/>
    </xf>
    <xf numFmtId="0" fontId="13" fillId="10" borderId="62" xfId="0" applyFont="1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7" borderId="19" xfId="0" applyFont="1" applyFill="1" applyBorder="1" applyAlignment="1">
      <alignment horizontal="center"/>
    </xf>
    <xf numFmtId="14" fontId="13" fillId="10" borderId="1" xfId="0" applyNumberFormat="1" applyFont="1" applyFill="1" applyBorder="1" applyAlignment="1">
      <alignment horizontal="center"/>
    </xf>
    <xf numFmtId="14" fontId="13" fillId="10" borderId="19" xfId="0" applyNumberFormat="1" applyFont="1" applyFill="1" applyBorder="1" applyAlignment="1">
      <alignment horizontal="center"/>
    </xf>
    <xf numFmtId="0" fontId="19" fillId="5" borderId="41" xfId="0" applyFont="1" applyFill="1" applyBorder="1" applyAlignment="1">
      <alignment horizontal="left" textRotation="90" wrapText="1"/>
    </xf>
    <xf numFmtId="0" fontId="19" fillId="5" borderId="14" xfId="0" applyFont="1" applyFill="1" applyBorder="1" applyAlignment="1">
      <alignment horizontal="left" textRotation="90" wrapText="1"/>
    </xf>
    <xf numFmtId="0" fontId="19" fillId="5" borderId="2" xfId="0" applyFont="1" applyFill="1" applyBorder="1" applyAlignment="1">
      <alignment horizontal="left" textRotation="90" wrapText="1"/>
    </xf>
    <xf numFmtId="0" fontId="19" fillId="10" borderId="30" xfId="0" applyFont="1" applyFill="1" applyBorder="1" applyAlignment="1">
      <alignment horizontal="center" textRotation="90"/>
    </xf>
    <xf numFmtId="0" fontId="19" fillId="10" borderId="19" xfId="0" applyFont="1" applyFill="1" applyBorder="1" applyAlignment="1">
      <alignment horizontal="center" textRotation="90"/>
    </xf>
    <xf numFmtId="0" fontId="0" fillId="5" borderId="1" xfId="0" applyFill="1" applyBorder="1" applyAlignment="1">
      <alignment horizontal="center"/>
    </xf>
    <xf numFmtId="0" fontId="19" fillId="5" borderId="29" xfId="0" applyFont="1" applyFill="1" applyBorder="1" applyAlignment="1">
      <alignment horizontal="left" textRotation="90" wrapText="1"/>
    </xf>
    <xf numFmtId="0" fontId="19" fillId="5" borderId="1" xfId="0" applyFont="1" applyFill="1" applyBorder="1" applyAlignment="1">
      <alignment horizontal="left" textRotation="90" wrapText="1"/>
    </xf>
    <xf numFmtId="0" fontId="13" fillId="5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4" fontId="2" fillId="16" borderId="26" xfId="0" applyNumberFormat="1" applyFont="1" applyFill="1" applyBorder="1" applyAlignment="1">
      <alignment horizontal="center"/>
    </xf>
    <xf numFmtId="14" fontId="2" fillId="16" borderId="2" xfId="0" applyNumberFormat="1" applyFont="1" applyFill="1" applyBorder="1" applyAlignment="1">
      <alignment horizontal="center"/>
    </xf>
    <xf numFmtId="14" fontId="2" fillId="16" borderId="27" xfId="0" applyNumberFormat="1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20" fillId="5" borderId="72" xfId="0" applyFont="1" applyFill="1" applyBorder="1" applyAlignment="1">
      <alignment horizontal="center" vertical="center"/>
    </xf>
    <xf numFmtId="0" fontId="20" fillId="5" borderId="69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textRotation="90" wrapText="1"/>
    </xf>
    <xf numFmtId="0" fontId="19" fillId="8" borderId="2" xfId="0" applyFont="1" applyFill="1" applyBorder="1" applyAlignment="1">
      <alignment horizontal="center" textRotation="90" wrapText="1"/>
    </xf>
    <xf numFmtId="0" fontId="2" fillId="2" borderId="2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FFFFCC"/>
      <color rgb="FFFFFF99"/>
      <color rgb="FFCC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7.3309131377734871E-2"/>
          <c:y val="7.4548702245552642E-2"/>
          <c:w val="0.66779936760997205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'Grafter udlån'!$A$5</c:f>
              <c:strCache>
                <c:ptCount val="1"/>
                <c:pt idx="0">
                  <c:v>Landbrug, Jagt og skovbrug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udlån'!$B$5:$I$5</c:f>
              <c:numCache>
                <c:formatCode>0.00</c:formatCode>
                <c:ptCount val="8"/>
                <c:pt idx="0">
                  <c:v>13.43</c:v>
                </c:pt>
                <c:pt idx="1">
                  <c:v>13.83</c:v>
                </c:pt>
                <c:pt idx="2">
                  <c:v>10.899999999999999</c:v>
                </c:pt>
                <c:pt idx="3">
                  <c:v>10.8</c:v>
                </c:pt>
                <c:pt idx="4">
                  <c:v>12</c:v>
                </c:pt>
                <c:pt idx="5">
                  <c:v>13</c:v>
                </c:pt>
                <c:pt idx="6">
                  <c:v>11.7</c:v>
                </c:pt>
                <c:pt idx="7">
                  <c:v>11.2</c:v>
                </c:pt>
              </c:numCache>
            </c:numRef>
          </c:val>
        </c:ser>
        <c:ser>
          <c:idx val="1"/>
          <c:order val="1"/>
          <c:tx>
            <c:strRef>
              <c:f>Udlån!$A$23</c:f>
              <c:strCache>
                <c:ptCount val="1"/>
                <c:pt idx="0">
                  <c:v>Fiskeri 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udlån'!$B$6:$I$6</c:f>
              <c:numCache>
                <c:formatCode>0.00</c:formatCode>
                <c:ptCount val="8"/>
                <c:pt idx="0">
                  <c:v>0.91</c:v>
                </c:pt>
                <c:pt idx="1">
                  <c:v>0.73</c:v>
                </c:pt>
                <c:pt idx="2">
                  <c:v>0.6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1.4</c:v>
                </c:pt>
                <c:pt idx="6">
                  <c:v>1.6</c:v>
                </c:pt>
                <c:pt idx="7">
                  <c:v>1.5</c:v>
                </c:pt>
              </c:numCache>
            </c:numRef>
          </c:val>
        </c:ser>
        <c:ser>
          <c:idx val="2"/>
          <c:order val="2"/>
          <c:tx>
            <c:strRef>
              <c:f>Udlån!$A$24</c:f>
              <c:strCache>
                <c:ptCount val="1"/>
                <c:pt idx="0">
                  <c:v>Minkproduktion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udlån'!$B$7:$I$7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1.7</c:v>
                </c:pt>
                <c:pt idx="7">
                  <c:v>1.4</c:v>
                </c:pt>
              </c:numCache>
            </c:numRef>
          </c:val>
        </c:ser>
        <c:ser>
          <c:idx val="4"/>
          <c:order val="3"/>
          <c:tx>
            <c:strRef>
              <c:f>Udlån!$A$26</c:f>
              <c:strCache>
                <c:ptCount val="1"/>
                <c:pt idx="0">
                  <c:v>Energiforsyning (vindmøller)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udlån'!$B$9:$I$9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14.3</c:v>
                </c:pt>
                <c:pt idx="7">
                  <c:v>18.600000000000001</c:v>
                </c:pt>
              </c:numCache>
            </c:numRef>
          </c:val>
        </c:ser>
        <c:ser>
          <c:idx val="5"/>
          <c:order val="4"/>
          <c:tx>
            <c:strRef>
              <c:f>Udlån!$A$27</c:f>
              <c:strCache>
                <c:ptCount val="1"/>
                <c:pt idx="0">
                  <c:v>Bygge og anlæg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udlån'!$B$10:$I$10</c:f>
              <c:numCache>
                <c:formatCode>0.00</c:formatCode>
                <c:ptCount val="8"/>
                <c:pt idx="0">
                  <c:v>2.27</c:v>
                </c:pt>
                <c:pt idx="1">
                  <c:v>2.29</c:v>
                </c:pt>
                <c:pt idx="2">
                  <c:v>1.6</c:v>
                </c:pt>
                <c:pt idx="3">
                  <c:v>1.9</c:v>
                </c:pt>
                <c:pt idx="4">
                  <c:v>1.8</c:v>
                </c:pt>
                <c:pt idx="5">
                  <c:v>2.2000000000000002</c:v>
                </c:pt>
                <c:pt idx="6">
                  <c:v>2.1</c:v>
                </c:pt>
                <c:pt idx="7">
                  <c:v>1.8</c:v>
                </c:pt>
              </c:numCache>
            </c:numRef>
          </c:val>
        </c:ser>
        <c:ser>
          <c:idx val="6"/>
          <c:order val="5"/>
          <c:tx>
            <c:strRef>
              <c:f>Udlån!$A$29</c:f>
              <c:strCache>
                <c:ptCount val="1"/>
                <c:pt idx="0">
                  <c:v>Finansiering og forsikring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udlån'!$B$12:$I$12</c:f>
              <c:numCache>
                <c:formatCode>0.00</c:formatCode>
                <c:ptCount val="8"/>
                <c:pt idx="0">
                  <c:v>2.25</c:v>
                </c:pt>
                <c:pt idx="1">
                  <c:v>4.63</c:v>
                </c:pt>
                <c:pt idx="2">
                  <c:v>6.2</c:v>
                </c:pt>
                <c:pt idx="3">
                  <c:v>7.7</c:v>
                </c:pt>
                <c:pt idx="4">
                  <c:v>6.6</c:v>
                </c:pt>
                <c:pt idx="5">
                  <c:v>8.6</c:v>
                </c:pt>
                <c:pt idx="6">
                  <c:v>7</c:v>
                </c:pt>
                <c:pt idx="7">
                  <c:v>8.1</c:v>
                </c:pt>
              </c:numCache>
            </c:numRef>
          </c:val>
        </c:ser>
        <c:ser>
          <c:idx val="7"/>
          <c:order val="6"/>
          <c:tx>
            <c:strRef>
              <c:f>Udlån!$A$30</c:f>
              <c:strCache>
                <c:ptCount val="1"/>
                <c:pt idx="0">
                  <c:v>Fast ejendom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udlån'!$B$13:$I$13</c:f>
              <c:numCache>
                <c:formatCode>0.00</c:formatCode>
                <c:ptCount val="8"/>
                <c:pt idx="0">
                  <c:v>7.55</c:v>
                </c:pt>
                <c:pt idx="1">
                  <c:v>9.3000000000000007</c:v>
                </c:pt>
                <c:pt idx="2">
                  <c:v>4.8</c:v>
                </c:pt>
                <c:pt idx="3">
                  <c:v>6.1</c:v>
                </c:pt>
                <c:pt idx="4">
                  <c:v>5.6</c:v>
                </c:pt>
                <c:pt idx="5">
                  <c:v>6.1</c:v>
                </c:pt>
                <c:pt idx="6">
                  <c:v>8.9</c:v>
                </c:pt>
                <c:pt idx="7">
                  <c:v>9.4</c:v>
                </c:pt>
              </c:numCache>
            </c:numRef>
          </c:val>
        </c:ser>
        <c:ser>
          <c:idx val="8"/>
          <c:order val="7"/>
          <c:tx>
            <c:strRef>
              <c:f>Udlån!$A$31</c:f>
              <c:strCache>
                <c:ptCount val="1"/>
                <c:pt idx="0">
                  <c:v>Øvrige erhverv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udlån'!$B$14:$I$14</c:f>
              <c:numCache>
                <c:formatCode>0.00</c:formatCode>
                <c:ptCount val="8"/>
                <c:pt idx="0">
                  <c:v>7.46</c:v>
                </c:pt>
                <c:pt idx="1">
                  <c:v>8.3000000000000007</c:v>
                </c:pt>
                <c:pt idx="2">
                  <c:v>8.6999999999999993</c:v>
                </c:pt>
                <c:pt idx="3">
                  <c:v>8.8000000000000007</c:v>
                </c:pt>
                <c:pt idx="4">
                  <c:v>13.4</c:v>
                </c:pt>
                <c:pt idx="5">
                  <c:v>14.6</c:v>
                </c:pt>
                <c:pt idx="6">
                  <c:v>7.7</c:v>
                </c:pt>
                <c:pt idx="7">
                  <c:v>7.3</c:v>
                </c:pt>
              </c:numCache>
            </c:numRef>
          </c:val>
        </c:ser>
        <c:ser>
          <c:idx val="3"/>
          <c:order val="8"/>
          <c:tx>
            <c:strRef>
              <c:f>'Grafter udlån'!$A$8</c:f>
              <c:strCache>
                <c:ptCount val="1"/>
                <c:pt idx="0">
                  <c:v>Industri og råstofudvinding</c:v>
                </c:pt>
              </c:strCache>
            </c:strRef>
          </c:tx>
          <c:marker>
            <c:symbol val="none"/>
          </c:marker>
          <c:val>
            <c:numRef>
              <c:f>'Grafter udlån'!$B$8:$I$8</c:f>
              <c:numCache>
                <c:formatCode>0.00</c:formatCode>
                <c:ptCount val="8"/>
                <c:pt idx="0">
                  <c:v>9.08</c:v>
                </c:pt>
                <c:pt idx="1">
                  <c:v>6.82</c:v>
                </c:pt>
                <c:pt idx="2">
                  <c:v>6.5</c:v>
                </c:pt>
                <c:pt idx="3">
                  <c:v>6.7</c:v>
                </c:pt>
                <c:pt idx="4">
                  <c:v>6.3</c:v>
                </c:pt>
                <c:pt idx="5">
                  <c:v>11.8</c:v>
                </c:pt>
                <c:pt idx="6">
                  <c:v>4.5999999999999996</c:v>
                </c:pt>
                <c:pt idx="7">
                  <c:v>2.8</c:v>
                </c:pt>
              </c:numCache>
            </c:numRef>
          </c:val>
        </c:ser>
        <c:marker val="1"/>
        <c:axId val="90371968"/>
        <c:axId val="90373504"/>
      </c:lineChart>
      <c:catAx>
        <c:axId val="90371968"/>
        <c:scaling>
          <c:orientation val="minMax"/>
        </c:scaling>
        <c:axPos val="b"/>
        <c:numFmt formatCode="General" sourceLinked="1"/>
        <c:tickLblPos val="nextTo"/>
        <c:crossAx val="90373504"/>
        <c:crosses val="autoZero"/>
        <c:auto val="1"/>
        <c:lblAlgn val="ctr"/>
        <c:lblOffset val="100"/>
      </c:catAx>
      <c:valAx>
        <c:axId val="90373504"/>
        <c:scaling>
          <c:orientation val="minMax"/>
        </c:scaling>
        <c:axPos val="l"/>
        <c:majorGridlines/>
        <c:numFmt formatCode="0.00" sourceLinked="1"/>
        <c:tickLblPos val="nextTo"/>
        <c:crossAx val="90371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tx>
            <c:v>Offentlige myndigheder</c:v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udlån'!$B$3:$I$3</c:f>
              <c:numCache>
                <c:formatCode>0.00</c:formatCode>
                <c:ptCount val="8"/>
                <c:pt idx="0">
                  <c:v>0.26</c:v>
                </c:pt>
                <c:pt idx="1">
                  <c:v>0.12</c:v>
                </c:pt>
                <c:pt idx="2">
                  <c:v>1.6</c:v>
                </c:pt>
                <c:pt idx="3">
                  <c:v>0.3</c:v>
                </c:pt>
                <c:pt idx="4">
                  <c:v>0.1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Erhverv</c:v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udlån'!$B$15:$I$15</c:f>
              <c:numCache>
                <c:formatCode>0.00</c:formatCode>
                <c:ptCount val="8"/>
                <c:pt idx="0">
                  <c:v>51.73</c:v>
                </c:pt>
                <c:pt idx="1">
                  <c:v>54.31</c:v>
                </c:pt>
                <c:pt idx="2">
                  <c:v>48.099999999999994</c:v>
                </c:pt>
                <c:pt idx="3">
                  <c:v>50.900000000000006</c:v>
                </c:pt>
                <c:pt idx="4">
                  <c:v>54.5</c:v>
                </c:pt>
                <c:pt idx="5">
                  <c:v>65.5</c:v>
                </c:pt>
                <c:pt idx="6">
                  <c:v>66</c:v>
                </c:pt>
                <c:pt idx="7">
                  <c:v>68.3</c:v>
                </c:pt>
              </c:numCache>
            </c:numRef>
          </c:val>
        </c:ser>
        <c:ser>
          <c:idx val="2"/>
          <c:order val="2"/>
          <c:tx>
            <c:v>Privat</c:v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udlån'!$B$16:$I$16</c:f>
              <c:numCache>
                <c:formatCode>0.00</c:formatCode>
                <c:ptCount val="8"/>
                <c:pt idx="0">
                  <c:v>48.01</c:v>
                </c:pt>
                <c:pt idx="1">
                  <c:v>45.57</c:v>
                </c:pt>
                <c:pt idx="2">
                  <c:v>50.3</c:v>
                </c:pt>
                <c:pt idx="3">
                  <c:v>48.8</c:v>
                </c:pt>
                <c:pt idx="4">
                  <c:v>45.4</c:v>
                </c:pt>
                <c:pt idx="5">
                  <c:v>34.200000000000003</c:v>
                </c:pt>
                <c:pt idx="6">
                  <c:v>34</c:v>
                </c:pt>
                <c:pt idx="7">
                  <c:v>31.7</c:v>
                </c:pt>
              </c:numCache>
            </c:numRef>
          </c:val>
        </c:ser>
        <c:marker val="1"/>
        <c:axId val="64094976"/>
        <c:axId val="64096512"/>
      </c:lineChart>
      <c:catAx>
        <c:axId val="64094976"/>
        <c:scaling>
          <c:orientation val="minMax"/>
        </c:scaling>
        <c:axPos val="b"/>
        <c:numFmt formatCode="General" sourceLinked="1"/>
        <c:tickLblPos val="nextTo"/>
        <c:crossAx val="64096512"/>
        <c:crosses val="autoZero"/>
        <c:auto val="1"/>
        <c:lblAlgn val="ctr"/>
        <c:lblOffset val="100"/>
      </c:catAx>
      <c:valAx>
        <c:axId val="64096512"/>
        <c:scaling>
          <c:orientation val="minMax"/>
        </c:scaling>
        <c:axPos val="l"/>
        <c:majorGridlines/>
        <c:numFmt formatCode="0.00" sourceLinked="1"/>
        <c:tickLblPos val="nextTo"/>
        <c:crossAx val="6409497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10"/>
  <c:chart>
    <c:plotArea>
      <c:layout>
        <c:manualLayout>
          <c:layoutTarget val="inner"/>
          <c:xMode val="edge"/>
          <c:yMode val="edge"/>
          <c:x val="7.3309131377734871E-2"/>
          <c:y val="7.4548702245552642E-2"/>
          <c:w val="0.66779936760997261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'Grafter udlån'!$A$5</c:f>
              <c:strCache>
                <c:ptCount val="1"/>
                <c:pt idx="0">
                  <c:v>Landbrug, Jagt og skovbrug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udlån'!$B$5:$I$5</c:f>
              <c:numCache>
                <c:formatCode>0.00</c:formatCode>
                <c:ptCount val="8"/>
                <c:pt idx="0">
                  <c:v>13.43</c:v>
                </c:pt>
                <c:pt idx="1">
                  <c:v>13.83</c:v>
                </c:pt>
                <c:pt idx="2">
                  <c:v>10.899999999999999</c:v>
                </c:pt>
                <c:pt idx="3">
                  <c:v>10.8</c:v>
                </c:pt>
                <c:pt idx="4">
                  <c:v>12</c:v>
                </c:pt>
                <c:pt idx="5">
                  <c:v>13</c:v>
                </c:pt>
                <c:pt idx="6">
                  <c:v>11.7</c:v>
                </c:pt>
                <c:pt idx="7">
                  <c:v>11.2</c:v>
                </c:pt>
              </c:numCache>
            </c:numRef>
          </c:val>
        </c:ser>
        <c:ser>
          <c:idx val="1"/>
          <c:order val="1"/>
          <c:tx>
            <c:strRef>
              <c:f>Udlån!$A$23</c:f>
              <c:strCache>
                <c:ptCount val="1"/>
                <c:pt idx="0">
                  <c:v>Fiskeri 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udlån'!$B$6:$I$6</c:f>
              <c:numCache>
                <c:formatCode>0.00</c:formatCode>
                <c:ptCount val="8"/>
                <c:pt idx="0">
                  <c:v>0.91</c:v>
                </c:pt>
                <c:pt idx="1">
                  <c:v>0.73</c:v>
                </c:pt>
                <c:pt idx="2">
                  <c:v>0.6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1.4</c:v>
                </c:pt>
                <c:pt idx="6">
                  <c:v>1.6</c:v>
                </c:pt>
                <c:pt idx="7">
                  <c:v>1.5</c:v>
                </c:pt>
              </c:numCache>
            </c:numRef>
          </c:val>
        </c:ser>
        <c:ser>
          <c:idx val="2"/>
          <c:order val="2"/>
          <c:tx>
            <c:strRef>
              <c:f>Udlån!$A$24</c:f>
              <c:strCache>
                <c:ptCount val="1"/>
                <c:pt idx="0">
                  <c:v>Minkproduktion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udlån'!$B$7:$I$7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1.7</c:v>
                </c:pt>
                <c:pt idx="7">
                  <c:v>1.4</c:v>
                </c:pt>
              </c:numCache>
            </c:numRef>
          </c:val>
        </c:ser>
        <c:ser>
          <c:idx val="4"/>
          <c:order val="3"/>
          <c:tx>
            <c:strRef>
              <c:f>Udlån!$A$26</c:f>
              <c:strCache>
                <c:ptCount val="1"/>
                <c:pt idx="0">
                  <c:v>Energiforsyning (vindmøller)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udlån'!$B$9:$I$9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14.3</c:v>
                </c:pt>
                <c:pt idx="7">
                  <c:v>18.600000000000001</c:v>
                </c:pt>
              </c:numCache>
            </c:numRef>
          </c:val>
        </c:ser>
        <c:ser>
          <c:idx val="5"/>
          <c:order val="4"/>
          <c:tx>
            <c:strRef>
              <c:f>Udlån!$A$27</c:f>
              <c:strCache>
                <c:ptCount val="1"/>
                <c:pt idx="0">
                  <c:v>Bygge og anlæg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udlån'!$B$10:$I$10</c:f>
              <c:numCache>
                <c:formatCode>0.00</c:formatCode>
                <c:ptCount val="8"/>
                <c:pt idx="0">
                  <c:v>2.27</c:v>
                </c:pt>
                <c:pt idx="1">
                  <c:v>2.29</c:v>
                </c:pt>
                <c:pt idx="2">
                  <c:v>1.6</c:v>
                </c:pt>
                <c:pt idx="3">
                  <c:v>1.9</c:v>
                </c:pt>
                <c:pt idx="4">
                  <c:v>1.8</c:v>
                </c:pt>
                <c:pt idx="5">
                  <c:v>2.2000000000000002</c:v>
                </c:pt>
                <c:pt idx="6">
                  <c:v>2.1</c:v>
                </c:pt>
                <c:pt idx="7">
                  <c:v>1.8</c:v>
                </c:pt>
              </c:numCache>
            </c:numRef>
          </c:val>
        </c:ser>
        <c:ser>
          <c:idx val="6"/>
          <c:order val="5"/>
          <c:tx>
            <c:strRef>
              <c:f>Udlån!$A$29</c:f>
              <c:strCache>
                <c:ptCount val="1"/>
                <c:pt idx="0">
                  <c:v>Finansiering og forsikring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udlån'!$B$12:$I$12</c:f>
              <c:numCache>
                <c:formatCode>0.00</c:formatCode>
                <c:ptCount val="8"/>
                <c:pt idx="0">
                  <c:v>2.25</c:v>
                </c:pt>
                <c:pt idx="1">
                  <c:v>4.63</c:v>
                </c:pt>
                <c:pt idx="2">
                  <c:v>6.2</c:v>
                </c:pt>
                <c:pt idx="3">
                  <c:v>7.7</c:v>
                </c:pt>
                <c:pt idx="4">
                  <c:v>6.6</c:v>
                </c:pt>
                <c:pt idx="5">
                  <c:v>8.6</c:v>
                </c:pt>
                <c:pt idx="6">
                  <c:v>7</c:v>
                </c:pt>
                <c:pt idx="7">
                  <c:v>8.1</c:v>
                </c:pt>
              </c:numCache>
            </c:numRef>
          </c:val>
        </c:ser>
        <c:ser>
          <c:idx val="7"/>
          <c:order val="6"/>
          <c:tx>
            <c:strRef>
              <c:f>Udlån!$A$30</c:f>
              <c:strCache>
                <c:ptCount val="1"/>
                <c:pt idx="0">
                  <c:v>Fast ejendom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udlån'!$B$13:$I$13</c:f>
              <c:numCache>
                <c:formatCode>0.00</c:formatCode>
                <c:ptCount val="8"/>
                <c:pt idx="0">
                  <c:v>7.55</c:v>
                </c:pt>
                <c:pt idx="1">
                  <c:v>9.3000000000000007</c:v>
                </c:pt>
                <c:pt idx="2">
                  <c:v>4.8</c:v>
                </c:pt>
                <c:pt idx="3">
                  <c:v>6.1</c:v>
                </c:pt>
                <c:pt idx="4">
                  <c:v>5.6</c:v>
                </c:pt>
                <c:pt idx="5">
                  <c:v>6.1</c:v>
                </c:pt>
                <c:pt idx="6">
                  <c:v>8.9</c:v>
                </c:pt>
                <c:pt idx="7">
                  <c:v>9.4</c:v>
                </c:pt>
              </c:numCache>
            </c:numRef>
          </c:val>
        </c:ser>
        <c:ser>
          <c:idx val="8"/>
          <c:order val="7"/>
          <c:tx>
            <c:strRef>
              <c:f>Udlån!$A$31</c:f>
              <c:strCache>
                <c:ptCount val="1"/>
                <c:pt idx="0">
                  <c:v>Øvrige erhverv</c:v>
                </c:pt>
              </c:strCache>
            </c:strRef>
          </c:tx>
          <c:marker>
            <c:symbol val="none"/>
          </c:marker>
          <c:cat>
            <c:numRef>
              <c:f>'Grafter udlån'!$B$2:$I$2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'Grafter udlån'!$B$14:$I$14</c:f>
              <c:numCache>
                <c:formatCode>0.00</c:formatCode>
                <c:ptCount val="8"/>
                <c:pt idx="0">
                  <c:v>7.46</c:v>
                </c:pt>
                <c:pt idx="1">
                  <c:v>8.3000000000000007</c:v>
                </c:pt>
                <c:pt idx="2">
                  <c:v>8.6999999999999993</c:v>
                </c:pt>
                <c:pt idx="3">
                  <c:v>8.8000000000000007</c:v>
                </c:pt>
                <c:pt idx="4">
                  <c:v>13.4</c:v>
                </c:pt>
                <c:pt idx="5">
                  <c:v>14.6</c:v>
                </c:pt>
                <c:pt idx="6">
                  <c:v>7.7</c:v>
                </c:pt>
                <c:pt idx="7">
                  <c:v>7.3</c:v>
                </c:pt>
              </c:numCache>
            </c:numRef>
          </c:val>
        </c:ser>
        <c:ser>
          <c:idx val="3"/>
          <c:order val="8"/>
          <c:tx>
            <c:strRef>
              <c:f>'Grafter udlån'!$A$8</c:f>
              <c:strCache>
                <c:ptCount val="1"/>
                <c:pt idx="0">
                  <c:v>Industri og råstofudvinding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'Grafter udlån'!$B$8:$I$8</c:f>
              <c:numCache>
                <c:formatCode>0.00</c:formatCode>
                <c:ptCount val="8"/>
                <c:pt idx="0">
                  <c:v>9.08</c:v>
                </c:pt>
                <c:pt idx="1">
                  <c:v>6.82</c:v>
                </c:pt>
                <c:pt idx="2">
                  <c:v>6.5</c:v>
                </c:pt>
                <c:pt idx="3">
                  <c:v>6.7</c:v>
                </c:pt>
                <c:pt idx="4">
                  <c:v>6.3</c:v>
                </c:pt>
                <c:pt idx="5">
                  <c:v>11.8</c:v>
                </c:pt>
                <c:pt idx="6">
                  <c:v>4.5999999999999996</c:v>
                </c:pt>
                <c:pt idx="7">
                  <c:v>2.8</c:v>
                </c:pt>
              </c:numCache>
            </c:numRef>
          </c:val>
        </c:ser>
        <c:marker val="1"/>
        <c:axId val="81334272"/>
        <c:axId val="81335808"/>
      </c:lineChart>
      <c:catAx>
        <c:axId val="81334272"/>
        <c:scaling>
          <c:orientation val="minMax"/>
        </c:scaling>
        <c:axPos val="b"/>
        <c:numFmt formatCode="General" sourceLinked="1"/>
        <c:tickLblPos val="nextTo"/>
        <c:crossAx val="81335808"/>
        <c:crosses val="autoZero"/>
        <c:auto val="1"/>
        <c:lblAlgn val="ctr"/>
        <c:lblOffset val="100"/>
      </c:catAx>
      <c:valAx>
        <c:axId val="81335808"/>
        <c:scaling>
          <c:orientation val="minMax"/>
        </c:scaling>
        <c:axPos val="l"/>
        <c:majorGridlines/>
        <c:numFmt formatCode="0.00" sourceLinked="1"/>
        <c:tickLblPos val="nextTo"/>
        <c:crossAx val="81334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26"/>
  <c:chart>
    <c:autoTitleDeleted val="1"/>
    <c:plotArea>
      <c:layout>
        <c:manualLayout>
          <c:layoutTarget val="inner"/>
          <c:xMode val="edge"/>
          <c:yMode val="edge"/>
          <c:x val="8.7719278049620576E-3"/>
          <c:y val="7.4623782776338632E-2"/>
          <c:w val="0.59340364843126325"/>
          <c:h val="0.88140757649593449"/>
        </c:manualLayout>
      </c:layout>
      <c:pieChart>
        <c:varyColors val="1"/>
        <c:ser>
          <c:idx val="0"/>
          <c:order val="0"/>
          <c:dPt>
            <c:idx val="0"/>
            <c:explosion val="5"/>
          </c:dPt>
          <c:dLbls>
            <c:showPercent val="1"/>
            <c:showLeaderLines val="1"/>
          </c:dLbls>
          <c:cat>
            <c:strRef>
              <c:f>Fundingstruktur!$F$4:$J$4</c:f>
              <c:strCache>
                <c:ptCount val="5"/>
                <c:pt idx="0">
                  <c:v>Indlån og anden gæld over 1 år: 4.390.606 tkr. </c:v>
                </c:pt>
                <c:pt idx="1">
                  <c:v>Gæld til kreditinstitutter - restløbetid under 1 år: 1.565.552 tkr.</c:v>
                </c:pt>
                <c:pt idx="2">
                  <c:v>Gæld til kreditinstitutter - restløbetid over 1 år: 11.669 tkr.</c:v>
                </c:pt>
                <c:pt idx="3">
                  <c:v>Øvrige passivposter: 312.177 tkr.</c:v>
                </c:pt>
                <c:pt idx="4">
                  <c:v>Egenkapital: 1.152.463 tkr.</c:v>
                </c:pt>
              </c:strCache>
            </c:strRef>
          </c:cat>
          <c:val>
            <c:numRef>
              <c:f>Fundingstruktur!$F$5:$J$5</c:f>
              <c:numCache>
                <c:formatCode>#,##0</c:formatCode>
                <c:ptCount val="5"/>
                <c:pt idx="0">
                  <c:v>4390606</c:v>
                </c:pt>
                <c:pt idx="1">
                  <c:v>1565551</c:v>
                </c:pt>
                <c:pt idx="2">
                  <c:v>111669</c:v>
                </c:pt>
                <c:pt idx="3" formatCode="General">
                  <c:v>312177</c:v>
                </c:pt>
                <c:pt idx="4">
                  <c:v>1152463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397836510210924"/>
          <c:y val="6.1359649122807017E-2"/>
          <c:w val="0.33644518176488508"/>
          <c:h val="0.93864035087719344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26"/>
  <c:chart>
    <c:autoTitleDeleted val="1"/>
    <c:plotArea>
      <c:layout>
        <c:manualLayout>
          <c:layoutTarget val="inner"/>
          <c:xMode val="edge"/>
          <c:yMode val="edge"/>
          <c:x val="1.8206474190726175E-2"/>
          <c:y val="8.2088628600879426E-2"/>
          <c:w val="0.62156058617672749"/>
          <c:h val="0.87492372290123288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Fundingstruktur!$F$23:$L$23</c:f>
              <c:strCache>
                <c:ptCount val="7"/>
                <c:pt idx="0">
                  <c:v>Indlån og anden gæld: 11.661.654 tkr. </c:v>
                </c:pt>
                <c:pt idx="1">
                  <c:v>Gæld til kreditinstitutter - restløbetid under 1 år: 731.968 tkr.</c:v>
                </c:pt>
                <c:pt idx="2">
                  <c:v>Gæld til kreditinstitutter - restløbetid over 1 år: 1.900.222 tkr.</c:v>
                </c:pt>
                <c:pt idx="3">
                  <c:v>Øvrige passivposter: 606.400 tkr.</c:v>
                </c:pt>
                <c:pt idx="4">
                  <c:v>Samlet ansvarlig kapital: 2.709.343 tkr. </c:v>
                </c:pt>
                <c:pt idx="5">
                  <c:v>Opsagt ansvarlig kapital: 300.000 tkr. </c:v>
                </c:pt>
                <c:pt idx="6">
                  <c:v>Udstedte obligationer over 1 år: 337.617 tkr. </c:v>
                </c:pt>
              </c:strCache>
            </c:strRef>
          </c:cat>
          <c:val>
            <c:numRef>
              <c:f>Fundingstruktur!$F$24:$L$24</c:f>
              <c:numCache>
                <c:formatCode>#,##0</c:formatCode>
                <c:ptCount val="7"/>
                <c:pt idx="0">
                  <c:v>11661654</c:v>
                </c:pt>
                <c:pt idx="1">
                  <c:v>731968</c:v>
                </c:pt>
                <c:pt idx="2">
                  <c:v>1900222</c:v>
                </c:pt>
                <c:pt idx="3" formatCode="General">
                  <c:v>606400</c:v>
                </c:pt>
                <c:pt idx="4">
                  <c:v>2709343</c:v>
                </c:pt>
                <c:pt idx="5">
                  <c:v>300000</c:v>
                </c:pt>
                <c:pt idx="6">
                  <c:v>337617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4686242344706912"/>
          <c:y val="3.4733887430737825E-2"/>
          <c:w val="0.33647090988626482"/>
          <c:h val="0.93979148439778415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52</xdr:row>
      <xdr:rowOff>19050</xdr:rowOff>
    </xdr:from>
    <xdr:to>
      <xdr:col>10</xdr:col>
      <xdr:colOff>523874</xdr:colOff>
      <xdr:row>67</xdr:row>
      <xdr:rowOff>57150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152400</xdr:rowOff>
    </xdr:from>
    <xdr:to>
      <xdr:col>16</xdr:col>
      <xdr:colOff>476250</xdr:colOff>
      <xdr:row>13</xdr:row>
      <xdr:rowOff>19050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13</xdr:row>
      <xdr:rowOff>123825</xdr:rowOff>
    </xdr:from>
    <xdr:to>
      <xdr:col>20</xdr:col>
      <xdr:colOff>161925</xdr:colOff>
      <xdr:row>28</xdr:row>
      <xdr:rowOff>104775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47623</xdr:colOff>
      <xdr:row>5</xdr:row>
      <xdr:rowOff>152399</xdr:rowOff>
    </xdr:from>
    <xdr:to>
      <xdr:col>7</xdr:col>
      <xdr:colOff>723899</xdr:colOff>
      <xdr:row>20</xdr:row>
      <xdr:rowOff>161924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838200</xdr:colOff>
      <xdr:row>6</xdr:row>
      <xdr:rowOff>9524</xdr:rowOff>
    </xdr:from>
    <xdr:to>
      <xdr:col>11</xdr:col>
      <xdr:colOff>200025</xdr:colOff>
      <xdr:row>22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E15" sqref="E15"/>
    </sheetView>
  </sheetViews>
  <sheetFormatPr defaultRowHeight="15"/>
  <cols>
    <col min="1" max="1" width="16.42578125" bestFit="1" customWidth="1"/>
    <col min="2" max="2" width="12.5703125" bestFit="1" customWidth="1"/>
    <col min="3" max="3" width="12.42578125" bestFit="1" customWidth="1"/>
    <col min="4" max="4" width="13.85546875" bestFit="1" customWidth="1"/>
    <col min="7" max="7" width="27.42578125" customWidth="1"/>
    <col min="8" max="8" width="8.28515625" customWidth="1"/>
    <col min="9" max="9" width="8.140625" customWidth="1"/>
    <col min="10" max="13" width="8.42578125" bestFit="1" customWidth="1"/>
    <col min="14" max="15" width="8" bestFit="1" customWidth="1"/>
  </cols>
  <sheetData>
    <row r="1" spans="1:17" ht="16.5" thickBot="1">
      <c r="A1" s="165" t="s">
        <v>83</v>
      </c>
      <c r="B1">
        <v>300</v>
      </c>
      <c r="G1" s="166" t="s">
        <v>84</v>
      </c>
      <c r="H1" s="167">
        <v>2010</v>
      </c>
      <c r="I1" s="168">
        <v>2009</v>
      </c>
      <c r="J1" s="169">
        <v>2008</v>
      </c>
      <c r="K1" s="168">
        <v>2007</v>
      </c>
      <c r="L1" s="169">
        <v>2006</v>
      </c>
      <c r="M1" s="168">
        <v>2005</v>
      </c>
      <c r="N1" s="169">
        <v>2004</v>
      </c>
      <c r="O1" s="170">
        <v>2003</v>
      </c>
    </row>
    <row r="2" spans="1:17" ht="15.75">
      <c r="A2" s="165" t="s">
        <v>85</v>
      </c>
      <c r="B2">
        <f>H2</f>
        <v>257</v>
      </c>
      <c r="G2" s="171" t="s">
        <v>86</v>
      </c>
      <c r="H2" s="172">
        <v>257</v>
      </c>
      <c r="I2" s="173">
        <v>232</v>
      </c>
      <c r="J2" s="174">
        <v>240</v>
      </c>
      <c r="K2" s="173">
        <v>348</v>
      </c>
      <c r="L2" s="174">
        <v>432</v>
      </c>
      <c r="M2" s="173">
        <v>265</v>
      </c>
      <c r="N2" s="174">
        <v>214</v>
      </c>
      <c r="O2" s="175">
        <v>230</v>
      </c>
    </row>
    <row r="3" spans="1:17" ht="15.75">
      <c r="A3" s="165" t="s">
        <v>3</v>
      </c>
      <c r="B3">
        <f>H4</f>
        <v>60.4</v>
      </c>
      <c r="G3" s="171" t="s">
        <v>34</v>
      </c>
      <c r="H3" s="176">
        <v>242</v>
      </c>
      <c r="I3" s="177">
        <v>377</v>
      </c>
      <c r="J3" s="178">
        <v>669</v>
      </c>
      <c r="K3" s="177">
        <v>571</v>
      </c>
      <c r="L3" s="178">
        <v>309</v>
      </c>
      <c r="M3" s="177">
        <v>166</v>
      </c>
      <c r="N3" s="178">
        <v>119</v>
      </c>
      <c r="O3" s="179">
        <v>101</v>
      </c>
    </row>
    <row r="4" spans="1:17" ht="15.75">
      <c r="A4" s="165" t="s">
        <v>34</v>
      </c>
      <c r="B4">
        <f>H3</f>
        <v>242</v>
      </c>
      <c r="D4">
        <f>360/B1</f>
        <v>1.2</v>
      </c>
      <c r="G4" s="171" t="s">
        <v>3</v>
      </c>
      <c r="H4" s="176">
        <v>60.4</v>
      </c>
      <c r="I4" s="177">
        <v>0</v>
      </c>
      <c r="J4" s="178">
        <v>0</v>
      </c>
      <c r="K4" s="177">
        <v>157.19999999999999</v>
      </c>
      <c r="L4" s="178">
        <v>158.4</v>
      </c>
      <c r="M4" s="177">
        <v>145.19999999999999</v>
      </c>
      <c r="N4" s="178">
        <v>132</v>
      </c>
      <c r="O4" s="179">
        <v>46.2</v>
      </c>
    </row>
    <row r="5" spans="1:17" ht="15.75">
      <c r="A5" s="165" t="s">
        <v>19</v>
      </c>
      <c r="B5" s="6">
        <f>H6</f>
        <v>18247</v>
      </c>
      <c r="G5" s="171" t="s">
        <v>2</v>
      </c>
      <c r="H5" s="180">
        <v>2312</v>
      </c>
      <c r="I5" s="181">
        <v>2056</v>
      </c>
      <c r="J5" s="182">
        <v>1785</v>
      </c>
      <c r="K5" s="183">
        <v>1779</v>
      </c>
      <c r="L5" s="182">
        <v>1711</v>
      </c>
      <c r="M5" s="183">
        <v>1515</v>
      </c>
      <c r="N5" s="182">
        <v>1372</v>
      </c>
      <c r="O5" s="184">
        <v>1152</v>
      </c>
      <c r="P5" s="185"/>
      <c r="Q5" s="141">
        <f>O5/O6</f>
        <v>0.15294742432288902</v>
      </c>
    </row>
    <row r="6" spans="1:17" ht="15.75">
      <c r="A6" s="165" t="s">
        <v>2</v>
      </c>
      <c r="B6" s="6">
        <f>H5</f>
        <v>2312</v>
      </c>
      <c r="C6" t="s">
        <v>87</v>
      </c>
      <c r="G6" s="171" t="s">
        <v>19</v>
      </c>
      <c r="H6" s="186">
        <v>18247</v>
      </c>
      <c r="I6" s="181">
        <v>17928</v>
      </c>
      <c r="J6" s="187">
        <v>18002</v>
      </c>
      <c r="K6" s="188">
        <v>19634</v>
      </c>
      <c r="L6" s="187">
        <v>17269</v>
      </c>
      <c r="M6" s="188">
        <v>13361</v>
      </c>
      <c r="N6" s="187">
        <v>9461</v>
      </c>
      <c r="O6" s="189">
        <v>7532</v>
      </c>
      <c r="P6" s="6"/>
      <c r="Q6">
        <f>H5/H6</f>
        <v>0.12670575985093441</v>
      </c>
    </row>
    <row r="7" spans="1:17" ht="16.5" thickBot="1">
      <c r="A7" s="165" t="s">
        <v>88</v>
      </c>
      <c r="B7">
        <v>0</v>
      </c>
      <c r="G7" s="190" t="s">
        <v>37</v>
      </c>
      <c r="H7" s="191">
        <v>0.23964497041420099</v>
      </c>
      <c r="I7" s="192">
        <v>0.23934426229508196</v>
      </c>
      <c r="J7" s="193">
        <v>0.24528301886792453</v>
      </c>
      <c r="K7" s="192">
        <v>0.23516483516483516</v>
      </c>
      <c r="L7" s="193">
        <v>0.24607329842931938</v>
      </c>
      <c r="M7" s="192">
        <v>0.26592797783933519</v>
      </c>
      <c r="N7" s="193">
        <v>0.25694444444444442</v>
      </c>
      <c r="O7" s="194">
        <v>0.23588039867109634</v>
      </c>
    </row>
    <row r="8" spans="1:17" ht="15.75" thickBot="1">
      <c r="A8" s="165" t="s">
        <v>89</v>
      </c>
      <c r="B8">
        <v>0</v>
      </c>
    </row>
    <row r="9" spans="1:17" ht="16.5" thickBot="1">
      <c r="A9" t="s">
        <v>90</v>
      </c>
      <c r="B9" s="195">
        <f>H7</f>
        <v>0.23964497041420099</v>
      </c>
      <c r="G9" s="196" t="s">
        <v>91</v>
      </c>
      <c r="H9" s="167">
        <v>2010</v>
      </c>
      <c r="I9" s="168">
        <v>2009</v>
      </c>
      <c r="J9" s="169">
        <v>2008</v>
      </c>
      <c r="K9" s="168">
        <v>2007</v>
      </c>
      <c r="L9" s="169">
        <v>2006</v>
      </c>
      <c r="M9" s="168">
        <v>2005</v>
      </c>
      <c r="N9" s="169">
        <v>2004</v>
      </c>
      <c r="O9" s="170">
        <v>2003</v>
      </c>
    </row>
    <row r="10" spans="1:17" ht="16.5" thickBot="1">
      <c r="A10" t="s">
        <v>92</v>
      </c>
      <c r="B10">
        <v>1</v>
      </c>
      <c r="G10" s="197" t="s">
        <v>93</v>
      </c>
      <c r="H10" s="198">
        <v>2.5999999999999999E-2</v>
      </c>
      <c r="I10" s="199">
        <v>3.4299999999999997E-2</v>
      </c>
      <c r="J10" s="200">
        <v>5.2400000000000002E-2</v>
      </c>
      <c r="K10" s="199">
        <v>4.2099999999999999E-2</v>
      </c>
      <c r="L10" s="200">
        <v>2.93E-2</v>
      </c>
      <c r="M10" s="199">
        <v>2.3900000000000001E-2</v>
      </c>
      <c r="N10" s="200">
        <v>2.6700000000000002E-2</v>
      </c>
      <c r="O10" s="201">
        <v>2.8299999999999999E-2</v>
      </c>
    </row>
    <row r="11" spans="1:17" ht="15.75">
      <c r="A11" t="s">
        <v>94</v>
      </c>
      <c r="B11">
        <v>4</v>
      </c>
      <c r="C11" t="s">
        <v>95</v>
      </c>
      <c r="G11" s="202" t="s">
        <v>96</v>
      </c>
      <c r="H11" s="203">
        <v>1.5900000000000001E-2</v>
      </c>
      <c r="I11" s="204">
        <v>2.52E-2</v>
      </c>
      <c r="J11" s="205">
        <v>4.4499999999999998E-2</v>
      </c>
      <c r="K11" s="204">
        <v>3.4799999999999998E-2</v>
      </c>
      <c r="L11" s="205">
        <v>2.1399999999999999E-2</v>
      </c>
      <c r="M11" s="204">
        <v>1.49E-2</v>
      </c>
      <c r="N11" s="205">
        <v>1.5100000000000001E-2</v>
      </c>
      <c r="O11" s="206">
        <v>1.6E-2</v>
      </c>
    </row>
    <row r="12" spans="1:17" ht="16.5" thickBot="1">
      <c r="A12" t="s">
        <v>97</v>
      </c>
      <c r="B12">
        <v>8</v>
      </c>
      <c r="C12" t="s">
        <v>98</v>
      </c>
      <c r="G12" s="207" t="s">
        <v>99</v>
      </c>
      <c r="H12" s="208">
        <v>1.01E-2</v>
      </c>
      <c r="I12" s="209">
        <v>9.1999999999999998E-3</v>
      </c>
      <c r="J12" s="210">
        <v>7.9000000000000008E-3</v>
      </c>
      <c r="K12" s="209">
        <v>7.1999999999999998E-3</v>
      </c>
      <c r="L12" s="210">
        <v>7.9000000000000008E-3</v>
      </c>
      <c r="M12" s="209">
        <v>9.1000000000000004E-3</v>
      </c>
      <c r="N12" s="210">
        <v>1.1599999999999999E-2</v>
      </c>
      <c r="O12" s="211">
        <v>1.2200000000000001E-2</v>
      </c>
      <c r="P12" s="141"/>
      <c r="Q12" s="141"/>
    </row>
    <row r="13" spans="1:17" ht="15.75" thickBot="1">
      <c r="A13" t="s">
        <v>100</v>
      </c>
      <c r="B13" s="212">
        <f>B4*D4/(B5-B6-B8+B7)</f>
        <v>1.8224035142767492E-2</v>
      </c>
      <c r="C13" s="213">
        <f>B13*100</f>
        <v>1.8224035142767492</v>
      </c>
      <c r="G13" s="42"/>
      <c r="H13" s="115"/>
      <c r="I13" s="115"/>
      <c r="J13" s="115"/>
      <c r="K13" s="115"/>
      <c r="L13" s="115"/>
      <c r="M13" s="115"/>
      <c r="N13" s="115"/>
      <c r="O13" s="115"/>
    </row>
    <row r="14" spans="1:17" ht="15.75">
      <c r="A14" t="s">
        <v>101</v>
      </c>
      <c r="B14" s="214">
        <f>(B5-B6-B8)/(B5-B8-B7)</f>
        <v>0.87329424014906565</v>
      </c>
      <c r="G14" s="578" t="s">
        <v>102</v>
      </c>
      <c r="H14" s="215">
        <v>2010</v>
      </c>
      <c r="I14" s="216">
        <v>2009</v>
      </c>
      <c r="J14" s="217">
        <v>2008</v>
      </c>
      <c r="K14" s="216">
        <v>2007</v>
      </c>
      <c r="L14" s="217">
        <v>2006</v>
      </c>
      <c r="M14" s="216">
        <v>2005</v>
      </c>
      <c r="N14" s="217">
        <v>2004</v>
      </c>
      <c r="O14" s="218">
        <v>2003</v>
      </c>
    </row>
    <row r="15" spans="1:17" ht="16.5" thickBot="1">
      <c r="A15" t="s">
        <v>103</v>
      </c>
      <c r="B15" s="219">
        <f>(B11/100)+B10*((B12/100)-(B11/100))</f>
        <v>0.08</v>
      </c>
      <c r="C15" s="7">
        <f>B15*100</f>
        <v>8</v>
      </c>
      <c r="G15" s="579"/>
      <c r="H15" s="220">
        <v>8.5000000000000006E-2</v>
      </c>
      <c r="I15" s="221">
        <v>0.1128</v>
      </c>
      <c r="J15" s="221">
        <v>0.13450000000000001</v>
      </c>
      <c r="K15" s="221">
        <v>0.10730000000000001</v>
      </c>
      <c r="L15" s="221">
        <v>0.15989999999999999</v>
      </c>
      <c r="M15" s="221">
        <v>7.9100000000000004E-2</v>
      </c>
      <c r="N15" s="221">
        <v>5.9799999999999999E-2</v>
      </c>
      <c r="O15" s="222">
        <v>0.1595</v>
      </c>
    </row>
    <row r="16" spans="1:17" ht="15.75">
      <c r="A16" t="s">
        <v>104</v>
      </c>
      <c r="B16" s="214">
        <f>B13*(1-(B9/100))*B14</f>
        <v>1.5876805557402156E-2</v>
      </c>
      <c r="C16" s="223">
        <f>B16*100</f>
        <v>1.5876805557402156</v>
      </c>
      <c r="G16" s="161" t="s">
        <v>105</v>
      </c>
    </row>
    <row r="17" spans="1:17" ht="15.75">
      <c r="A17" t="s">
        <v>106</v>
      </c>
      <c r="B17" s="212">
        <f>B15*(1-B14)</f>
        <v>1.0136460788074748E-2</v>
      </c>
      <c r="C17" s="224">
        <f>B17*100</f>
        <v>1.0136460788074748</v>
      </c>
      <c r="G17" s="225" t="s">
        <v>107</v>
      </c>
      <c r="L17" s="2"/>
      <c r="M17" s="161"/>
      <c r="N17" s="2"/>
      <c r="O17" s="2"/>
      <c r="P17" s="2"/>
    </row>
    <row r="18" spans="1:17" ht="15.75">
      <c r="A18" s="165" t="s">
        <v>108</v>
      </c>
      <c r="B18" s="226">
        <f>B16+B17</f>
        <v>2.6013266345476904E-2</v>
      </c>
      <c r="G18" s="225" t="s">
        <v>109</v>
      </c>
      <c r="H18" s="227">
        <f>1/(B6/B5)*(B2)/B5*(B2-B3)/B2</f>
        <v>8.5034602076124552E-2</v>
      </c>
      <c r="L18" s="2"/>
      <c r="M18" s="2"/>
      <c r="N18" s="2"/>
      <c r="O18" s="2"/>
      <c r="P18" s="2"/>
    </row>
    <row r="19" spans="1:17" ht="15.75">
      <c r="C19" s="228"/>
      <c r="D19" s="228"/>
      <c r="E19" s="228"/>
      <c r="F19" s="228"/>
      <c r="G19" s="228"/>
      <c r="H19" s="228"/>
      <c r="I19" s="228"/>
      <c r="K19" s="165"/>
      <c r="L19" s="229" t="s">
        <v>102</v>
      </c>
      <c r="M19" s="230" t="s">
        <v>110</v>
      </c>
      <c r="N19" s="231"/>
      <c r="O19" s="231"/>
      <c r="P19" s="232"/>
    </row>
    <row r="20" spans="1:17" ht="15.75">
      <c r="A20" s="165" t="s">
        <v>102</v>
      </c>
      <c r="B20" s="226">
        <f>D21*E21*F21</f>
        <v>8.5034602076124552E-2</v>
      </c>
      <c r="C20" s="228"/>
      <c r="D20" s="228" t="s">
        <v>111</v>
      </c>
      <c r="E20" s="228" t="s">
        <v>112</v>
      </c>
      <c r="F20" s="228" t="s">
        <v>113</v>
      </c>
      <c r="G20" s="228"/>
      <c r="H20" s="228" t="s">
        <v>114</v>
      </c>
      <c r="I20" s="228" t="s">
        <v>115</v>
      </c>
      <c r="K20" s="141"/>
      <c r="L20" s="233"/>
      <c r="M20" s="234" t="s">
        <v>116</v>
      </c>
      <c r="N20" s="235"/>
      <c r="O20" s="235"/>
      <c r="P20" s="236"/>
      <c r="Q20" s="141"/>
    </row>
    <row r="21" spans="1:17" ht="15.75">
      <c r="C21" s="228"/>
      <c r="D21" s="228">
        <f>(B2-B3)/B2</f>
        <v>0.76498054474708166</v>
      </c>
      <c r="E21" s="228">
        <f>1/((B6/B5))</f>
        <v>7.8923010380622829</v>
      </c>
      <c r="F21" s="228">
        <f>B2/B5</f>
        <v>1.4084507042253521E-2</v>
      </c>
      <c r="G21" s="228"/>
      <c r="H21" s="228">
        <f>B24/100</f>
        <v>8.5000000000000006E-2</v>
      </c>
      <c r="I21" s="228">
        <f>(B24/100)/B20</f>
        <v>0.99959308240081413</v>
      </c>
      <c r="L21" s="237"/>
      <c r="M21" s="238" t="s">
        <v>117</v>
      </c>
      <c r="N21" s="239"/>
      <c r="O21" s="240"/>
      <c r="P21" s="241"/>
    </row>
    <row r="22" spans="1:17">
      <c r="C22" s="228"/>
      <c r="D22" s="228"/>
      <c r="E22" s="228"/>
      <c r="F22" s="228"/>
      <c r="G22" s="228"/>
      <c r="H22" s="228"/>
      <c r="I22" s="228"/>
    </row>
    <row r="24" spans="1:17">
      <c r="A24" s="165" t="s">
        <v>118</v>
      </c>
      <c r="B24">
        <v>8.5</v>
      </c>
      <c r="D24" t="s">
        <v>119</v>
      </c>
      <c r="E24">
        <f>I21*B2-B2+B3</f>
        <v>60.295422177009208</v>
      </c>
    </row>
    <row r="27" spans="1:17">
      <c r="K27" s="141"/>
      <c r="L27" s="141"/>
      <c r="M27" s="141"/>
      <c r="N27" s="141"/>
      <c r="O27" s="141"/>
      <c r="P27" s="141"/>
      <c r="Q27" s="141"/>
    </row>
  </sheetData>
  <mergeCells count="1">
    <mergeCell ref="G14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2"/>
  <sheetViews>
    <sheetView workbookViewId="0">
      <selection activeCell="A4" sqref="A4"/>
    </sheetView>
  </sheetViews>
  <sheetFormatPr defaultRowHeight="15"/>
  <cols>
    <col min="1" max="1" width="36.140625" customWidth="1"/>
    <col min="2" max="2" width="7.42578125" customWidth="1"/>
    <col min="3" max="3" width="7.7109375" bestFit="1" customWidth="1"/>
    <col min="4" max="4" width="9.7109375" bestFit="1" customWidth="1"/>
    <col min="5" max="8" width="7.7109375" bestFit="1" customWidth="1"/>
    <col min="9" max="9" width="7.140625" bestFit="1" customWidth="1"/>
    <col min="10" max="10" width="2" customWidth="1"/>
    <col min="11" max="11" width="37.42578125" customWidth="1"/>
    <col min="12" max="18" width="6" bestFit="1" customWidth="1"/>
    <col min="19" max="19" width="5" bestFit="1" customWidth="1"/>
    <col min="21" max="21" width="23.7109375" bestFit="1" customWidth="1"/>
    <col min="22" max="28" width="5" bestFit="1" customWidth="1"/>
  </cols>
  <sheetData>
    <row r="1" spans="1:12" ht="16.5" thickBot="1">
      <c r="A1" s="586" t="s">
        <v>303</v>
      </c>
      <c r="B1" s="587"/>
      <c r="C1" s="587"/>
      <c r="D1" s="587"/>
      <c r="E1" s="587"/>
      <c r="F1" s="587"/>
      <c r="G1" s="587"/>
      <c r="H1" s="587"/>
      <c r="I1" s="588"/>
    </row>
    <row r="2" spans="1:12" ht="15.75" thickBot="1">
      <c r="A2" s="95" t="s">
        <v>21</v>
      </c>
      <c r="B2" s="120">
        <v>2010</v>
      </c>
      <c r="C2" s="97">
        <v>2009</v>
      </c>
      <c r="D2" s="96">
        <v>2008</v>
      </c>
      <c r="E2" s="97">
        <v>2007</v>
      </c>
      <c r="F2" s="96">
        <v>2006</v>
      </c>
      <c r="G2" s="97">
        <v>2005</v>
      </c>
      <c r="H2" s="96">
        <v>2004</v>
      </c>
      <c r="I2" s="98">
        <v>2003</v>
      </c>
      <c r="J2" s="115"/>
    </row>
    <row r="3" spans="1:12">
      <c r="A3" s="124" t="s">
        <v>29</v>
      </c>
      <c r="B3" s="103">
        <v>758</v>
      </c>
      <c r="C3" s="104">
        <v>753</v>
      </c>
      <c r="D3" s="104">
        <v>735</v>
      </c>
      <c r="E3" s="104">
        <v>696</v>
      </c>
      <c r="F3" s="104">
        <v>609</v>
      </c>
      <c r="G3" s="113">
        <v>511</v>
      </c>
      <c r="H3" s="113">
        <v>417</v>
      </c>
      <c r="I3" s="114">
        <v>368</v>
      </c>
      <c r="J3" s="115"/>
    </row>
    <row r="4" spans="1:12">
      <c r="A4" s="99" t="s">
        <v>22</v>
      </c>
      <c r="B4" s="105">
        <v>338</v>
      </c>
      <c r="C4" s="100">
        <v>305</v>
      </c>
      <c r="D4" s="100">
        <v>318</v>
      </c>
      <c r="E4" s="100">
        <v>455</v>
      </c>
      <c r="F4" s="100">
        <v>573</v>
      </c>
      <c r="G4" s="100">
        <v>361</v>
      </c>
      <c r="H4" s="100">
        <v>288</v>
      </c>
      <c r="I4" s="106">
        <v>301</v>
      </c>
      <c r="J4" s="116"/>
    </row>
    <row r="5" spans="1:12">
      <c r="A5" s="99" t="s">
        <v>32</v>
      </c>
      <c r="B5" s="105">
        <v>257</v>
      </c>
      <c r="C5" s="100">
        <v>232</v>
      </c>
      <c r="D5" s="100">
        <v>240</v>
      </c>
      <c r="E5" s="100">
        <v>348</v>
      </c>
      <c r="F5" s="100">
        <v>432</v>
      </c>
      <c r="G5" s="100">
        <v>265</v>
      </c>
      <c r="H5" s="100">
        <v>214</v>
      </c>
      <c r="I5" s="106">
        <v>230</v>
      </c>
      <c r="J5" s="116"/>
    </row>
    <row r="6" spans="1:12">
      <c r="A6" s="99" t="s">
        <v>36</v>
      </c>
      <c r="B6" s="105">
        <f>B4-B5</f>
        <v>81</v>
      </c>
      <c r="C6" s="100">
        <f t="shared" ref="C6:I6" si="0">C4-C5</f>
        <v>73</v>
      </c>
      <c r="D6" s="100">
        <f t="shared" si="0"/>
        <v>78</v>
      </c>
      <c r="E6" s="100">
        <f t="shared" si="0"/>
        <v>107</v>
      </c>
      <c r="F6" s="100">
        <f t="shared" si="0"/>
        <v>141</v>
      </c>
      <c r="G6" s="100">
        <f t="shared" si="0"/>
        <v>96</v>
      </c>
      <c r="H6" s="100">
        <f t="shared" si="0"/>
        <v>74</v>
      </c>
      <c r="I6" s="106">
        <f t="shared" si="0"/>
        <v>71</v>
      </c>
      <c r="J6" s="116"/>
    </row>
    <row r="7" spans="1:12">
      <c r="A7" s="99" t="s">
        <v>37</v>
      </c>
      <c r="B7" s="127">
        <f>B6/B4</f>
        <v>0.23964497041420119</v>
      </c>
      <c r="C7" s="481">
        <f t="shared" ref="C7:I7" si="1">C6/C4</f>
        <v>0.23934426229508196</v>
      </c>
      <c r="D7" s="481">
        <f t="shared" si="1"/>
        <v>0.24528301886792453</v>
      </c>
      <c r="E7" s="481">
        <f t="shared" si="1"/>
        <v>0.23516483516483516</v>
      </c>
      <c r="F7" s="481">
        <f t="shared" si="1"/>
        <v>0.24607329842931938</v>
      </c>
      <c r="G7" s="481">
        <f t="shared" si="1"/>
        <v>0.26592797783933519</v>
      </c>
      <c r="H7" s="481">
        <f t="shared" si="1"/>
        <v>0.25694444444444442</v>
      </c>
      <c r="I7" s="482">
        <f t="shared" si="1"/>
        <v>0.23588039867109634</v>
      </c>
      <c r="J7" s="116"/>
    </row>
    <row r="8" spans="1:12">
      <c r="A8" s="99" t="s">
        <v>35</v>
      </c>
      <c r="B8" s="105">
        <v>836</v>
      </c>
      <c r="C8" s="100">
        <v>994</v>
      </c>
      <c r="D8" s="100">
        <v>1221</v>
      </c>
      <c r="E8" s="100">
        <v>1032</v>
      </c>
      <c r="F8" s="100">
        <v>706</v>
      </c>
      <c r="G8" s="100">
        <v>500</v>
      </c>
      <c r="H8" s="100">
        <v>413</v>
      </c>
      <c r="I8" s="106">
        <v>384</v>
      </c>
      <c r="J8" s="116"/>
      <c r="K8">
        <f>I9/I8</f>
        <v>0.26302083333333331</v>
      </c>
    </row>
    <row r="9" spans="1:12">
      <c r="A9" s="99" t="s">
        <v>34</v>
      </c>
      <c r="B9" s="105">
        <v>242</v>
      </c>
      <c r="C9" s="100">
        <v>377</v>
      </c>
      <c r="D9" s="100">
        <v>669</v>
      </c>
      <c r="E9" s="100">
        <v>571</v>
      </c>
      <c r="F9" s="100">
        <v>309</v>
      </c>
      <c r="G9" s="100">
        <v>166</v>
      </c>
      <c r="H9" s="100">
        <v>119</v>
      </c>
      <c r="I9" s="106">
        <v>101</v>
      </c>
      <c r="J9" s="116"/>
      <c r="K9">
        <f>B9/B8</f>
        <v>0.28947368421052633</v>
      </c>
    </row>
    <row r="10" spans="1:12" ht="15.75" thickBot="1">
      <c r="A10" s="149" t="s">
        <v>33</v>
      </c>
      <c r="B10" s="105">
        <v>60.4</v>
      </c>
      <c r="C10" s="100">
        <v>0</v>
      </c>
      <c r="D10" s="100">
        <v>0</v>
      </c>
      <c r="E10" s="100">
        <v>157.19999999999999</v>
      </c>
      <c r="F10" s="100">
        <v>158.4</v>
      </c>
      <c r="G10" s="100">
        <v>145.19999999999999</v>
      </c>
      <c r="H10" s="100">
        <v>132</v>
      </c>
      <c r="I10" s="106">
        <v>46.2</v>
      </c>
      <c r="J10" s="116"/>
    </row>
    <row r="11" spans="1:12" ht="16.5" customHeight="1">
      <c r="A11" s="156" t="s">
        <v>18</v>
      </c>
      <c r="B11" s="477">
        <v>13151</v>
      </c>
      <c r="C11" s="152">
        <v>13047</v>
      </c>
      <c r="D11" s="478">
        <v>13897</v>
      </c>
      <c r="E11" s="479">
        <v>14135</v>
      </c>
      <c r="F11" s="478">
        <v>12760</v>
      </c>
      <c r="G11" s="478">
        <v>10023</v>
      </c>
      <c r="H11" s="478">
        <v>7209</v>
      </c>
      <c r="I11" s="480">
        <v>5207</v>
      </c>
      <c r="J11" s="117"/>
    </row>
    <row r="12" spans="1:12" ht="16.5" customHeight="1">
      <c r="A12" s="99" t="s">
        <v>31</v>
      </c>
      <c r="B12" s="107">
        <v>1042</v>
      </c>
      <c r="C12" s="90">
        <v>1485</v>
      </c>
      <c r="D12" s="101">
        <v>2386</v>
      </c>
      <c r="E12" s="102">
        <v>4804</v>
      </c>
      <c r="F12" s="101">
        <v>4804</v>
      </c>
      <c r="G12" s="101">
        <v>5142</v>
      </c>
      <c r="H12" s="101">
        <v>3991</v>
      </c>
      <c r="I12" s="108">
        <v>2898</v>
      </c>
      <c r="J12" s="117"/>
    </row>
    <row r="13" spans="1:12" ht="16.5" customHeight="1" thickBot="1">
      <c r="A13" s="125" t="s">
        <v>30</v>
      </c>
      <c r="B13" s="157">
        <f>B11+B12</f>
        <v>14193</v>
      </c>
      <c r="C13" s="158">
        <f t="shared" ref="C13:I13" si="2">C11+C12</f>
        <v>14532</v>
      </c>
      <c r="D13" s="158">
        <f t="shared" si="2"/>
        <v>16283</v>
      </c>
      <c r="E13" s="158">
        <f t="shared" si="2"/>
        <v>18939</v>
      </c>
      <c r="F13" s="158">
        <f t="shared" si="2"/>
        <v>17564</v>
      </c>
      <c r="G13" s="158">
        <f t="shared" si="2"/>
        <v>15165</v>
      </c>
      <c r="H13" s="158">
        <f t="shared" si="2"/>
        <v>11200</v>
      </c>
      <c r="I13" s="159">
        <f t="shared" si="2"/>
        <v>8105</v>
      </c>
      <c r="J13" s="117"/>
    </row>
    <row r="14" spans="1:12">
      <c r="A14" s="150" t="s">
        <v>19</v>
      </c>
      <c r="B14" s="151">
        <v>18247</v>
      </c>
      <c r="C14" s="152">
        <v>17928</v>
      </c>
      <c r="D14" s="153">
        <v>18002</v>
      </c>
      <c r="E14" s="154">
        <v>19634</v>
      </c>
      <c r="F14" s="153">
        <v>17269</v>
      </c>
      <c r="G14" s="153">
        <v>13361</v>
      </c>
      <c r="H14" s="153">
        <v>9461</v>
      </c>
      <c r="I14" s="155">
        <v>7532</v>
      </c>
      <c r="J14" s="118"/>
      <c r="K14" s="118"/>
    </row>
    <row r="15" spans="1:12" ht="15.75" thickBot="1">
      <c r="A15" s="125" t="s">
        <v>0</v>
      </c>
      <c r="B15" s="109">
        <v>22.3</v>
      </c>
      <c r="C15" s="110">
        <v>20.2</v>
      </c>
      <c r="D15" s="111">
        <v>16.3</v>
      </c>
      <c r="E15" s="110">
        <v>13</v>
      </c>
      <c r="F15" s="111">
        <v>12.3</v>
      </c>
      <c r="G15" s="111">
        <v>11.6</v>
      </c>
      <c r="H15" s="111">
        <v>11.9</v>
      </c>
      <c r="I15" s="112">
        <v>14.4</v>
      </c>
      <c r="J15" s="119"/>
      <c r="K15" s="6"/>
    </row>
    <row r="16" spans="1:12">
      <c r="B16" s="5"/>
      <c r="G16" s="8"/>
      <c r="I16" s="5"/>
      <c r="J16" s="5"/>
      <c r="K16" s="7"/>
      <c r="L16" s="7"/>
    </row>
    <row r="17" spans="1:29" ht="15.75" thickBot="1"/>
    <row r="18" spans="1:29" ht="15.75" thickBot="1">
      <c r="A18" s="580" t="s">
        <v>62</v>
      </c>
      <c r="B18" s="581"/>
      <c r="C18" s="581"/>
      <c r="D18" s="581"/>
      <c r="E18" s="581"/>
      <c r="F18" s="581"/>
      <c r="G18" s="581"/>
      <c r="H18" s="581"/>
      <c r="I18" s="582"/>
      <c r="K18" s="583" t="s">
        <v>23</v>
      </c>
      <c r="L18" s="584"/>
      <c r="M18" s="584"/>
      <c r="N18" s="584"/>
      <c r="O18" s="584"/>
      <c r="P18" s="584"/>
      <c r="Q18" s="584"/>
      <c r="R18" s="584"/>
      <c r="S18" s="585"/>
    </row>
    <row r="19" spans="1:29" ht="15.75" thickBot="1">
      <c r="A19" s="86" t="s">
        <v>21</v>
      </c>
      <c r="B19" s="87">
        <v>2010</v>
      </c>
      <c r="C19" s="88">
        <v>2009</v>
      </c>
      <c r="D19" s="87">
        <v>2008</v>
      </c>
      <c r="E19" s="88">
        <v>2007</v>
      </c>
      <c r="F19" s="87">
        <v>2006</v>
      </c>
      <c r="G19" s="88">
        <v>2005</v>
      </c>
      <c r="H19" s="87">
        <v>2004</v>
      </c>
      <c r="I19" s="89">
        <v>2003</v>
      </c>
      <c r="K19" s="86" t="s">
        <v>21</v>
      </c>
      <c r="L19" s="87">
        <v>2010</v>
      </c>
      <c r="M19" s="88">
        <v>2009</v>
      </c>
      <c r="N19" s="87">
        <v>2008</v>
      </c>
      <c r="O19" s="88">
        <v>2007</v>
      </c>
      <c r="P19" s="87">
        <v>2006</v>
      </c>
      <c r="Q19" s="88">
        <v>2005</v>
      </c>
      <c r="R19" s="87">
        <v>2004</v>
      </c>
      <c r="S19" s="89">
        <v>2003</v>
      </c>
      <c r="U19" s="128" t="s">
        <v>21</v>
      </c>
      <c r="V19" s="129">
        <v>2010</v>
      </c>
      <c r="W19" s="130">
        <v>2009</v>
      </c>
      <c r="X19" s="129">
        <v>2008</v>
      </c>
      <c r="Y19" s="130">
        <v>2007</v>
      </c>
      <c r="Z19" s="129">
        <v>2006</v>
      </c>
      <c r="AA19" s="130">
        <v>2005</v>
      </c>
      <c r="AB19" s="129">
        <v>2004</v>
      </c>
      <c r="AC19" s="131">
        <v>2003</v>
      </c>
    </row>
    <row r="20" spans="1:29">
      <c r="A20" s="55" t="s">
        <v>4</v>
      </c>
      <c r="B20" s="53">
        <v>0</v>
      </c>
      <c r="C20" s="93">
        <v>0</v>
      </c>
      <c r="D20" s="53">
        <v>0.3</v>
      </c>
      <c r="E20" s="93">
        <v>0.1</v>
      </c>
      <c r="F20" s="53">
        <v>0.3</v>
      </c>
      <c r="G20" s="93">
        <v>1.6</v>
      </c>
      <c r="H20" s="53">
        <v>0.12</v>
      </c>
      <c r="I20" s="94">
        <v>0.26</v>
      </c>
      <c r="K20" s="121" t="s">
        <v>4</v>
      </c>
      <c r="L20" s="75">
        <v>0</v>
      </c>
      <c r="M20" s="122">
        <v>0</v>
      </c>
      <c r="N20" s="75">
        <f t="shared" ref="N20:S20" si="3">D13*(D20/100)</f>
        <v>48.849000000000004</v>
      </c>
      <c r="O20" s="122">
        <f t="shared" si="3"/>
        <v>18.939</v>
      </c>
      <c r="P20" s="75">
        <f t="shared" si="3"/>
        <v>52.692</v>
      </c>
      <c r="Q20" s="122">
        <f t="shared" si="3"/>
        <v>242.64000000000001</v>
      </c>
      <c r="R20" s="75">
        <f t="shared" si="3"/>
        <v>13.44</v>
      </c>
      <c r="S20" s="123">
        <f t="shared" si="3"/>
        <v>21.073</v>
      </c>
      <c r="U20" s="1" t="s">
        <v>12</v>
      </c>
      <c r="V20" s="160">
        <f>L29</f>
        <v>1149.633</v>
      </c>
      <c r="W20" s="160">
        <f t="shared" ref="W20:AC20" si="4">M29</f>
        <v>1017.2400000000001</v>
      </c>
      <c r="X20" s="160">
        <f t="shared" si="4"/>
        <v>1400.338</v>
      </c>
      <c r="Y20" s="160">
        <f t="shared" si="4"/>
        <v>1249.9740000000002</v>
      </c>
      <c r="Z20" s="160">
        <f t="shared" si="4"/>
        <v>1352.4279999999999</v>
      </c>
      <c r="AA20" s="160">
        <f t="shared" si="4"/>
        <v>940.23</v>
      </c>
      <c r="AB20" s="160">
        <f t="shared" si="4"/>
        <v>518.56000000000006</v>
      </c>
      <c r="AC20" s="160">
        <f t="shared" si="4"/>
        <v>182.36249999999998</v>
      </c>
    </row>
    <row r="21" spans="1:29">
      <c r="A21" s="16" t="s">
        <v>5</v>
      </c>
      <c r="B21" s="9"/>
      <c r="C21" s="1"/>
      <c r="D21" s="9"/>
      <c r="E21" s="1"/>
      <c r="F21" s="9"/>
      <c r="G21" s="1"/>
      <c r="H21" s="9"/>
      <c r="I21" s="17"/>
      <c r="K21" s="16" t="s">
        <v>5</v>
      </c>
      <c r="L21" s="32"/>
      <c r="M21" s="4"/>
      <c r="N21" s="32"/>
      <c r="O21" s="4"/>
      <c r="P21" s="32"/>
      <c r="Q21" s="4"/>
      <c r="R21" s="32"/>
      <c r="S21" s="33"/>
    </row>
    <row r="22" spans="1:29">
      <c r="A22" s="18" t="s">
        <v>6</v>
      </c>
      <c r="B22" s="19">
        <f>4+2.8+4.4</f>
        <v>11.2</v>
      </c>
      <c r="C22" s="11">
        <f>3.9+3.8+4</f>
        <v>11.7</v>
      </c>
      <c r="D22" s="19">
        <f>4.9+4.4+3.7</f>
        <v>13</v>
      </c>
      <c r="E22" s="11">
        <f>4.5+3.9+3.6</f>
        <v>12</v>
      </c>
      <c r="F22" s="19">
        <f>4.4+3.6+2.8</f>
        <v>10.8</v>
      </c>
      <c r="G22" s="11">
        <f>4.7+3.4+2.8</f>
        <v>10.899999999999999</v>
      </c>
      <c r="H22" s="19">
        <v>13.83</v>
      </c>
      <c r="I22" s="20">
        <v>13.43</v>
      </c>
      <c r="K22" s="18" t="s">
        <v>6</v>
      </c>
      <c r="L22" s="31">
        <f>B$13*(B22/100)</f>
        <v>1589.6159999999998</v>
      </c>
      <c r="M22" s="37">
        <f>C$13*(C22/100)</f>
        <v>1700.2439999999999</v>
      </c>
      <c r="N22" s="31">
        <f>D$13*(D22/100)</f>
        <v>2116.79</v>
      </c>
      <c r="O22" s="37">
        <f>E$13*(E22/100)</f>
        <v>2272.6799999999998</v>
      </c>
      <c r="P22" s="31">
        <f t="shared" ref="P22:S22" si="5">F$13*(F22/100)</f>
        <v>1896.9120000000003</v>
      </c>
      <c r="Q22" s="37">
        <f t="shared" si="5"/>
        <v>1652.9849999999997</v>
      </c>
      <c r="R22" s="31">
        <f t="shared" si="5"/>
        <v>1548.96</v>
      </c>
      <c r="S22" s="39">
        <f t="shared" si="5"/>
        <v>1088.5015000000001</v>
      </c>
    </row>
    <row r="23" spans="1:29">
      <c r="A23" s="21" t="s">
        <v>7</v>
      </c>
      <c r="B23" s="19">
        <v>1.5</v>
      </c>
      <c r="C23" s="11">
        <v>1.6</v>
      </c>
      <c r="D23" s="19">
        <v>1.4</v>
      </c>
      <c r="E23" s="11">
        <v>1.1000000000000001</v>
      </c>
      <c r="F23" s="19">
        <v>1.1000000000000001</v>
      </c>
      <c r="G23" s="11">
        <v>0.6</v>
      </c>
      <c r="H23" s="19">
        <v>0.73</v>
      </c>
      <c r="I23" s="20">
        <v>0.91</v>
      </c>
      <c r="K23" s="21" t="s">
        <v>7</v>
      </c>
      <c r="L23" s="31">
        <f t="shared" ref="L23:L26" si="6">(B$11+B$12)*(B23/100)</f>
        <v>212.89499999999998</v>
      </c>
      <c r="M23" s="37">
        <f t="shared" ref="M23:M27" si="7">(C$11+C$12)*(C23/100)</f>
        <v>232.512</v>
      </c>
      <c r="N23" s="31">
        <f>(D$11+D$12)*(D23/100)</f>
        <v>227.96199999999999</v>
      </c>
      <c r="O23" s="37">
        <f t="shared" ref="O23:O25" si="8">(E$11+E$12)*(E23/100)</f>
        <v>208.32900000000001</v>
      </c>
      <c r="P23" s="31">
        <f t="shared" ref="P23:P27" si="9">(F$11+F$12)*(F23/100)</f>
        <v>193.20400000000001</v>
      </c>
      <c r="Q23" s="37">
        <f>(G$11+G$12)*(G23/100)</f>
        <v>90.99</v>
      </c>
      <c r="R23" s="31">
        <f t="shared" ref="R23:R27" si="10">(H$11+H$12)*(H23/100)</f>
        <v>81.760000000000005</v>
      </c>
      <c r="S23" s="39">
        <f t="shared" ref="S23:S27" si="11">(I$11+I$12)*(I23/100)</f>
        <v>73.755499999999998</v>
      </c>
    </row>
    <row r="24" spans="1:29">
      <c r="A24" s="18" t="s">
        <v>8</v>
      </c>
      <c r="B24" s="19">
        <v>1.4</v>
      </c>
      <c r="C24" s="11">
        <v>1.7</v>
      </c>
      <c r="D24" s="19">
        <v>1.4</v>
      </c>
      <c r="E24" s="11">
        <v>1.6</v>
      </c>
      <c r="F24" s="19">
        <v>1.5</v>
      </c>
      <c r="G24" s="11">
        <v>1.1000000000000001</v>
      </c>
      <c r="H24" s="19">
        <v>0</v>
      </c>
      <c r="I24" s="20">
        <v>0</v>
      </c>
      <c r="K24" s="18" t="s">
        <v>8</v>
      </c>
      <c r="L24" s="31">
        <f t="shared" si="6"/>
        <v>198.70199999999997</v>
      </c>
      <c r="M24" s="37">
        <f t="shared" si="7"/>
        <v>247.04400000000001</v>
      </c>
      <c r="N24" s="31">
        <f t="shared" ref="N24:N27" si="12">(D$11+D$12)*(D24/100)</f>
        <v>227.96199999999999</v>
      </c>
      <c r="O24" s="37">
        <f t="shared" si="8"/>
        <v>303.024</v>
      </c>
      <c r="P24" s="31">
        <f t="shared" si="9"/>
        <v>263.45999999999998</v>
      </c>
      <c r="Q24" s="37">
        <f t="shared" ref="Q24:Q27" si="13">(G$11+G$12)*(G24/100)</f>
        <v>166.81500000000003</v>
      </c>
      <c r="R24" s="31"/>
      <c r="S24" s="39"/>
    </row>
    <row r="25" spans="1:29">
      <c r="A25" s="18" t="s">
        <v>9</v>
      </c>
      <c r="B25" s="19">
        <v>2.8</v>
      </c>
      <c r="C25" s="11">
        <v>4.5999999999999996</v>
      </c>
      <c r="D25" s="19">
        <v>11.8</v>
      </c>
      <c r="E25" s="11">
        <v>6.3</v>
      </c>
      <c r="F25" s="19">
        <v>6.7</v>
      </c>
      <c r="G25" s="11">
        <v>6.5</v>
      </c>
      <c r="H25" s="19">
        <v>6.82</v>
      </c>
      <c r="I25" s="20">
        <v>9.08</v>
      </c>
      <c r="J25" s="7"/>
      <c r="K25" s="18" t="s">
        <v>9</v>
      </c>
      <c r="L25" s="31">
        <f t="shared" si="6"/>
        <v>397.40399999999994</v>
      </c>
      <c r="M25" s="37">
        <f t="shared" si="7"/>
        <v>668.47199999999998</v>
      </c>
      <c r="N25" s="31">
        <f t="shared" si="12"/>
        <v>1921.3940000000002</v>
      </c>
      <c r="O25" s="37">
        <f t="shared" si="8"/>
        <v>1193.1569999999999</v>
      </c>
      <c r="P25" s="31">
        <f>(F$11+F$12)*(F25/100)</f>
        <v>1176.788</v>
      </c>
      <c r="Q25" s="37">
        <f t="shared" si="13"/>
        <v>985.72500000000002</v>
      </c>
      <c r="R25" s="31">
        <f t="shared" si="10"/>
        <v>763.83999999999992</v>
      </c>
      <c r="S25" s="39">
        <f t="shared" si="11"/>
        <v>735.93400000000008</v>
      </c>
    </row>
    <row r="26" spans="1:29">
      <c r="A26" s="18" t="s">
        <v>10</v>
      </c>
      <c r="B26" s="19">
        <v>18.600000000000001</v>
      </c>
      <c r="C26" s="11">
        <v>14.3</v>
      </c>
      <c r="D26" s="50">
        <v>0</v>
      </c>
      <c r="E26" s="51">
        <v>0</v>
      </c>
      <c r="F26" s="50">
        <v>0</v>
      </c>
      <c r="G26" s="51">
        <v>0</v>
      </c>
      <c r="H26" s="50">
        <v>0</v>
      </c>
      <c r="I26" s="52">
        <v>0</v>
      </c>
      <c r="K26" s="18" t="s">
        <v>10</v>
      </c>
      <c r="L26" s="31">
        <f t="shared" si="6"/>
        <v>2639.8980000000006</v>
      </c>
      <c r="M26" s="37">
        <f t="shared" si="7"/>
        <v>2078.076</v>
      </c>
      <c r="N26" s="31"/>
      <c r="O26" s="37"/>
      <c r="P26" s="31"/>
      <c r="Q26" s="37"/>
      <c r="R26" s="31"/>
      <c r="S26" s="39"/>
      <c r="T26" s="41"/>
    </row>
    <row r="27" spans="1:29">
      <c r="A27" s="18" t="s">
        <v>11</v>
      </c>
      <c r="B27" s="19">
        <v>1.8</v>
      </c>
      <c r="C27" s="11">
        <v>2.1</v>
      </c>
      <c r="D27" s="19">
        <v>2.2000000000000002</v>
      </c>
      <c r="E27" s="11">
        <v>1.8</v>
      </c>
      <c r="F27" s="19">
        <v>1.9</v>
      </c>
      <c r="G27" s="11">
        <v>1.6</v>
      </c>
      <c r="H27" s="19">
        <v>2.29</v>
      </c>
      <c r="I27" s="20">
        <v>2.27</v>
      </c>
      <c r="K27" s="18" t="s">
        <v>11</v>
      </c>
      <c r="L27" s="31">
        <f>(B$11+B$12)*(B27/100)</f>
        <v>255.47400000000002</v>
      </c>
      <c r="M27" s="37">
        <f t="shared" si="7"/>
        <v>305.17200000000003</v>
      </c>
      <c r="N27" s="31">
        <f t="shared" si="12"/>
        <v>358.22600000000006</v>
      </c>
      <c r="O27" s="37">
        <f>(E$11+E$12)*(E27/100)</f>
        <v>340.90200000000004</v>
      </c>
      <c r="P27" s="31">
        <f t="shared" si="9"/>
        <v>333.71600000000001</v>
      </c>
      <c r="Q27" s="37">
        <f t="shared" si="13"/>
        <v>242.64000000000001</v>
      </c>
      <c r="R27" s="31">
        <f t="shared" si="10"/>
        <v>256.48</v>
      </c>
      <c r="S27" s="39">
        <f t="shared" si="11"/>
        <v>183.98350000000002</v>
      </c>
    </row>
    <row r="28" spans="1:29" ht="29.25" customHeight="1">
      <c r="A28" s="22" t="s">
        <v>24</v>
      </c>
      <c r="B28" s="23">
        <f>3.6+ 2.4+0.2</f>
        <v>6.2</v>
      </c>
      <c r="C28" s="12">
        <f>2.1 +4.1+0.2</f>
        <v>6.3999999999999995</v>
      </c>
      <c r="D28" s="23">
        <f>5.7+0.7</f>
        <v>6.4</v>
      </c>
      <c r="E28" s="12">
        <f>5.3+0.8</f>
        <v>6.1</v>
      </c>
      <c r="F28" s="23">
        <f>5.6+0.7</f>
        <v>6.3</v>
      </c>
      <c r="G28" s="12">
        <f>6.8+0.9</f>
        <v>7.7</v>
      </c>
      <c r="H28" s="23">
        <f>1.28+7.13</f>
        <v>8.41</v>
      </c>
      <c r="I28" s="24">
        <f>7.02+1.76</f>
        <v>8.7799999999999994</v>
      </c>
      <c r="K28" s="22" t="s">
        <v>24</v>
      </c>
      <c r="L28" s="31">
        <f t="shared" ref="L28:L30" si="14">(B$11+B$12)*(B28/100)</f>
        <v>879.96600000000001</v>
      </c>
      <c r="M28" s="37">
        <f t="shared" ref="M28:M31" si="15">(C$11+C$12)*(C28/100)</f>
        <v>930.048</v>
      </c>
      <c r="N28" s="31">
        <f t="shared" ref="N28:N31" si="16">(D$11+D$12)*(D28/100)</f>
        <v>1042.1120000000001</v>
      </c>
      <c r="O28" s="37">
        <f t="shared" ref="O28:O31" si="17">(E$11+E$12)*(E28/100)</f>
        <v>1155.279</v>
      </c>
      <c r="P28" s="31">
        <f t="shared" ref="P28:P31" si="18">(F$11+F$12)*(F28/100)</f>
        <v>1106.5319999999999</v>
      </c>
      <c r="Q28" s="37">
        <f t="shared" ref="Q28:Q31" si="19">(G$11+G$12)*(G28/100)</f>
        <v>1167.7049999999999</v>
      </c>
      <c r="R28" s="31">
        <f t="shared" ref="R28:R31" si="20">(H$11+H$12)*(H28/100)</f>
        <v>941.92000000000007</v>
      </c>
      <c r="S28" s="39">
        <f t="shared" ref="S28:S31" si="21">(I$11+I$12)*(I28/100)</f>
        <v>711.61899999999991</v>
      </c>
    </row>
    <row r="29" spans="1:29">
      <c r="A29" s="18" t="s">
        <v>12</v>
      </c>
      <c r="B29" s="25">
        <v>8.1</v>
      </c>
      <c r="C29" s="10">
        <v>7</v>
      </c>
      <c r="D29" s="25">
        <v>8.6</v>
      </c>
      <c r="E29" s="10">
        <v>6.6</v>
      </c>
      <c r="F29" s="25">
        <v>7.7</v>
      </c>
      <c r="G29" s="10">
        <v>6.2</v>
      </c>
      <c r="H29" s="25">
        <v>4.63</v>
      </c>
      <c r="I29" s="26">
        <v>2.25</v>
      </c>
      <c r="K29" s="18" t="s">
        <v>12</v>
      </c>
      <c r="L29" s="31">
        <f t="shared" si="14"/>
        <v>1149.633</v>
      </c>
      <c r="M29" s="37">
        <f t="shared" si="15"/>
        <v>1017.2400000000001</v>
      </c>
      <c r="N29" s="31">
        <f t="shared" si="16"/>
        <v>1400.338</v>
      </c>
      <c r="O29" s="37">
        <f t="shared" si="17"/>
        <v>1249.9740000000002</v>
      </c>
      <c r="P29" s="31">
        <f t="shared" si="18"/>
        <v>1352.4279999999999</v>
      </c>
      <c r="Q29" s="37">
        <f t="shared" si="19"/>
        <v>940.23</v>
      </c>
      <c r="R29" s="31">
        <f t="shared" si="20"/>
        <v>518.56000000000006</v>
      </c>
      <c r="S29" s="39">
        <f t="shared" si="21"/>
        <v>182.36249999999998</v>
      </c>
    </row>
    <row r="30" spans="1:29">
      <c r="A30" s="18" t="s">
        <v>13</v>
      </c>
      <c r="B30" s="25">
        <v>9.4</v>
      </c>
      <c r="C30" s="10">
        <v>8.9</v>
      </c>
      <c r="D30" s="25">
        <v>6.1</v>
      </c>
      <c r="E30" s="10">
        <v>5.6</v>
      </c>
      <c r="F30" s="25">
        <v>6.1</v>
      </c>
      <c r="G30" s="10">
        <v>4.8</v>
      </c>
      <c r="H30" s="25">
        <v>9.3000000000000007</v>
      </c>
      <c r="I30" s="26">
        <v>7.55</v>
      </c>
      <c r="K30" s="18" t="s">
        <v>13</v>
      </c>
      <c r="L30" s="31">
        <f t="shared" si="14"/>
        <v>1334.1420000000001</v>
      </c>
      <c r="M30" s="37">
        <f t="shared" si="15"/>
        <v>1293.3480000000002</v>
      </c>
      <c r="N30" s="31">
        <f t="shared" si="16"/>
        <v>993.26300000000003</v>
      </c>
      <c r="O30" s="37">
        <f t="shared" si="17"/>
        <v>1060.5839999999998</v>
      </c>
      <c r="P30" s="31">
        <f t="shared" si="18"/>
        <v>1071.404</v>
      </c>
      <c r="Q30" s="37">
        <f t="shared" si="19"/>
        <v>727.92</v>
      </c>
      <c r="R30" s="31">
        <f t="shared" si="20"/>
        <v>1041.6000000000001</v>
      </c>
      <c r="S30" s="39">
        <f t="shared" si="21"/>
        <v>611.92750000000001</v>
      </c>
    </row>
    <row r="31" spans="1:29">
      <c r="A31" s="18" t="s">
        <v>14</v>
      </c>
      <c r="B31" s="25">
        <v>7.3</v>
      </c>
      <c r="C31" s="10">
        <v>7.7</v>
      </c>
      <c r="D31" s="25">
        <v>14.6</v>
      </c>
      <c r="E31" s="10">
        <v>13.4</v>
      </c>
      <c r="F31" s="25">
        <v>8.8000000000000007</v>
      </c>
      <c r="G31" s="10">
        <v>8.6999999999999993</v>
      </c>
      <c r="H31" s="25">
        <v>8.3000000000000007</v>
      </c>
      <c r="I31" s="26">
        <v>7.46</v>
      </c>
      <c r="K31" s="18" t="s">
        <v>14</v>
      </c>
      <c r="L31" s="31">
        <f>(B$11+B$12)*(B31/100)</f>
        <v>1036.0889999999999</v>
      </c>
      <c r="M31" s="37">
        <f t="shared" si="15"/>
        <v>1118.9639999999999</v>
      </c>
      <c r="N31" s="31">
        <f t="shared" si="16"/>
        <v>2377.3179999999998</v>
      </c>
      <c r="O31" s="37">
        <f t="shared" si="17"/>
        <v>2537.826</v>
      </c>
      <c r="P31" s="31">
        <f t="shared" si="18"/>
        <v>1545.6320000000001</v>
      </c>
      <c r="Q31" s="37">
        <f t="shared" si="19"/>
        <v>1319.355</v>
      </c>
      <c r="R31" s="31">
        <f t="shared" si="20"/>
        <v>929.6</v>
      </c>
      <c r="S31" s="39">
        <f t="shared" si="21"/>
        <v>604.63300000000004</v>
      </c>
    </row>
    <row r="32" spans="1:29">
      <c r="A32" s="16" t="s">
        <v>15</v>
      </c>
      <c r="B32" s="14">
        <f>SUM(B20:B31)</f>
        <v>68.3</v>
      </c>
      <c r="C32" s="15">
        <f>SUM(C20:C31)</f>
        <v>66</v>
      </c>
      <c r="D32" s="14">
        <f t="shared" ref="D32:I32" si="22">SUM(D22:D31)</f>
        <v>65.5</v>
      </c>
      <c r="E32" s="15">
        <f t="shared" si="22"/>
        <v>54.5</v>
      </c>
      <c r="F32" s="14">
        <f t="shared" si="22"/>
        <v>50.900000000000006</v>
      </c>
      <c r="G32" s="15">
        <f t="shared" si="22"/>
        <v>48.099999999999994</v>
      </c>
      <c r="H32" s="14">
        <f t="shared" si="22"/>
        <v>54.31</v>
      </c>
      <c r="I32" s="27">
        <f t="shared" si="22"/>
        <v>51.73</v>
      </c>
      <c r="K32" s="16" t="s">
        <v>15</v>
      </c>
      <c r="L32" s="34">
        <f>SUM(L20:L31)</f>
        <v>9693.8190000000013</v>
      </c>
      <c r="M32" s="3">
        <f>SUM(M20:M31)</f>
        <v>9591.1200000000008</v>
      </c>
      <c r="N32" s="34">
        <f t="shared" ref="N32:S32" si="23">SUM(N22:N31)</f>
        <v>10665.365</v>
      </c>
      <c r="O32" s="3">
        <f t="shared" si="23"/>
        <v>10321.754999999999</v>
      </c>
      <c r="P32" s="34">
        <f t="shared" si="23"/>
        <v>8940.0759999999991</v>
      </c>
      <c r="Q32" s="3">
        <f t="shared" si="23"/>
        <v>7294.3649999999998</v>
      </c>
      <c r="R32" s="34">
        <f t="shared" si="23"/>
        <v>6082.7200000000012</v>
      </c>
      <c r="S32" s="35">
        <f t="shared" si="23"/>
        <v>4192.7164999999995</v>
      </c>
    </row>
    <row r="33" spans="1:19" ht="15.75" thickBot="1">
      <c r="A33" s="28" t="s">
        <v>16</v>
      </c>
      <c r="B33" s="29">
        <v>31.7</v>
      </c>
      <c r="C33" s="13">
        <v>34</v>
      </c>
      <c r="D33" s="29">
        <v>34.200000000000003</v>
      </c>
      <c r="E33" s="13">
        <v>45.4</v>
      </c>
      <c r="F33" s="29">
        <v>48.8</v>
      </c>
      <c r="G33" s="13">
        <v>50.3</v>
      </c>
      <c r="H33" s="29">
        <v>45.57</v>
      </c>
      <c r="I33" s="30">
        <v>48.01</v>
      </c>
      <c r="K33" s="28" t="s">
        <v>16</v>
      </c>
      <c r="L33" s="36">
        <f t="shared" ref="L33:S33" si="24">B13*(B33/100)</f>
        <v>4499.1810000000005</v>
      </c>
      <c r="M33" s="38">
        <f t="shared" si="24"/>
        <v>4940.88</v>
      </c>
      <c r="N33" s="36">
        <f t="shared" si="24"/>
        <v>5568.7860000000001</v>
      </c>
      <c r="O33" s="38">
        <f t="shared" si="24"/>
        <v>8598.3059999999987</v>
      </c>
      <c r="P33" s="36">
        <f t="shared" si="24"/>
        <v>8571.232</v>
      </c>
      <c r="Q33" s="38">
        <f t="shared" si="24"/>
        <v>7627.9949999999999</v>
      </c>
      <c r="R33" s="36">
        <f t="shared" si="24"/>
        <v>5103.84</v>
      </c>
      <c r="S33" s="40">
        <f t="shared" si="24"/>
        <v>3891.2104999999997</v>
      </c>
    </row>
    <row r="34" spans="1:19" ht="15.75" thickBot="1">
      <c r="A34" s="79" t="s">
        <v>17</v>
      </c>
      <c r="B34" s="83">
        <f>B32+B33</f>
        <v>100</v>
      </c>
      <c r="C34" s="84">
        <f t="shared" ref="C34" si="25">C32+C33</f>
        <v>100</v>
      </c>
      <c r="D34" s="84">
        <f t="shared" ref="D34:I34" si="26">D32+D33+D20</f>
        <v>100</v>
      </c>
      <c r="E34" s="84">
        <f t="shared" si="26"/>
        <v>100</v>
      </c>
      <c r="F34" s="84">
        <f t="shared" si="26"/>
        <v>100</v>
      </c>
      <c r="G34" s="84">
        <f t="shared" si="26"/>
        <v>99.999999999999986</v>
      </c>
      <c r="H34" s="84">
        <f t="shared" si="26"/>
        <v>100</v>
      </c>
      <c r="I34" s="85">
        <f t="shared" si="26"/>
        <v>100</v>
      </c>
      <c r="K34" s="79" t="s">
        <v>17</v>
      </c>
      <c r="L34" s="80">
        <f>L32+L33</f>
        <v>14193.000000000002</v>
      </c>
      <c r="M34" s="81">
        <f t="shared" ref="M34" si="27">M32+M33</f>
        <v>14532</v>
      </c>
      <c r="N34" s="80">
        <f t="shared" ref="N34:S34" si="28">N32+N33+N20</f>
        <v>16283</v>
      </c>
      <c r="O34" s="81">
        <f t="shared" si="28"/>
        <v>18938.999999999996</v>
      </c>
      <c r="P34" s="80">
        <f t="shared" si="28"/>
        <v>17563.999999999996</v>
      </c>
      <c r="Q34" s="81">
        <f t="shared" si="28"/>
        <v>15165</v>
      </c>
      <c r="R34" s="80">
        <f t="shared" si="28"/>
        <v>11200.000000000002</v>
      </c>
      <c r="S34" s="82">
        <f t="shared" si="28"/>
        <v>8105</v>
      </c>
    </row>
    <row r="35" spans="1:19" ht="15.75" thickBot="1"/>
    <row r="36" spans="1:19" ht="60.75" thickBot="1">
      <c r="A36" s="58" t="s">
        <v>25</v>
      </c>
      <c r="B36" s="67" t="s">
        <v>28</v>
      </c>
      <c r="C36" s="68" t="s">
        <v>26</v>
      </c>
      <c r="D36" s="78" t="s">
        <v>27</v>
      </c>
      <c r="E36" s="56"/>
    </row>
    <row r="37" spans="1:19">
      <c r="A37" s="73" t="s">
        <v>4</v>
      </c>
      <c r="B37" s="74">
        <f>L20-S20</f>
        <v>-21.073</v>
      </c>
      <c r="C37" s="75">
        <v>0</v>
      </c>
      <c r="D37" s="76">
        <f>B20-I20</f>
        <v>-0.26</v>
      </c>
      <c r="E37" s="54"/>
    </row>
    <row r="38" spans="1:19">
      <c r="A38" s="59" t="s">
        <v>5</v>
      </c>
      <c r="B38" s="69"/>
      <c r="C38" s="70"/>
      <c r="D38" s="60"/>
      <c r="E38" s="54"/>
    </row>
    <row r="39" spans="1:19">
      <c r="A39" s="46" t="s">
        <v>6</v>
      </c>
      <c r="B39" s="61">
        <f t="shared" ref="B39:B51" si="29">L22-S22</f>
        <v>501.11449999999968</v>
      </c>
      <c r="C39" s="44">
        <f>B39/($B$11-$I$11)*100</f>
        <v>6.3080878650553842</v>
      </c>
      <c r="D39" s="57">
        <f t="shared" ref="D39:D51" si="30">B22-I22</f>
        <v>-2.2300000000000004</v>
      </c>
      <c r="E39" s="54"/>
    </row>
    <row r="40" spans="1:19">
      <c r="A40" s="47" t="s">
        <v>7</v>
      </c>
      <c r="B40" s="61">
        <f t="shared" si="29"/>
        <v>139.1395</v>
      </c>
      <c r="C40" s="44">
        <f t="shared" ref="C40:C51" si="31">B40/($B$11-$I$11)*100</f>
        <v>1.7515042799597182</v>
      </c>
      <c r="D40" s="57">
        <f t="shared" si="30"/>
        <v>0.59</v>
      </c>
      <c r="E40" s="54"/>
    </row>
    <row r="41" spans="1:19">
      <c r="A41" s="46" t="s">
        <v>8</v>
      </c>
      <c r="B41" s="61">
        <f t="shared" si="29"/>
        <v>198.70199999999997</v>
      </c>
      <c r="C41" s="44">
        <f t="shared" si="31"/>
        <v>2.5012839879154076</v>
      </c>
      <c r="D41" s="57">
        <f t="shared" si="30"/>
        <v>1.4</v>
      </c>
      <c r="E41" s="54"/>
    </row>
    <row r="42" spans="1:19">
      <c r="A42" s="46" t="s">
        <v>9</v>
      </c>
      <c r="B42" s="61">
        <f t="shared" si="29"/>
        <v>-338.53000000000014</v>
      </c>
      <c r="C42" s="44">
        <f t="shared" si="31"/>
        <v>-4.261455186304131</v>
      </c>
      <c r="D42" s="57">
        <f t="shared" si="30"/>
        <v>-6.28</v>
      </c>
      <c r="E42" s="54"/>
    </row>
    <row r="43" spans="1:19">
      <c r="A43" s="46" t="s">
        <v>10</v>
      </c>
      <c r="B43" s="61">
        <f t="shared" si="29"/>
        <v>2639.8980000000006</v>
      </c>
      <c r="C43" s="44">
        <f t="shared" si="31"/>
        <v>33.23134441087614</v>
      </c>
      <c r="D43" s="57">
        <f t="shared" si="30"/>
        <v>18.600000000000001</v>
      </c>
      <c r="E43" s="54"/>
    </row>
    <row r="44" spans="1:19">
      <c r="A44" s="46" t="s">
        <v>11</v>
      </c>
      <c r="B44" s="61">
        <f t="shared" si="29"/>
        <v>71.490499999999997</v>
      </c>
      <c r="C44" s="44">
        <f t="shared" si="31"/>
        <v>0.8999307653575026</v>
      </c>
      <c r="D44" s="57">
        <f t="shared" si="30"/>
        <v>-0.47</v>
      </c>
      <c r="E44" s="54"/>
    </row>
    <row r="45" spans="1:19" ht="29.25" customHeight="1">
      <c r="A45" s="48" t="s">
        <v>24</v>
      </c>
      <c r="B45" s="62">
        <f t="shared" si="29"/>
        <v>168.34700000000009</v>
      </c>
      <c r="C45" s="49">
        <f t="shared" si="31"/>
        <v>2.1191717019133951</v>
      </c>
      <c r="D45" s="66">
        <f t="shared" si="30"/>
        <v>-2.5799999999999992</v>
      </c>
      <c r="E45" s="54"/>
    </row>
    <row r="46" spans="1:19">
      <c r="A46" s="46" t="s">
        <v>12</v>
      </c>
      <c r="B46" s="61">
        <f t="shared" si="29"/>
        <v>967.27050000000008</v>
      </c>
      <c r="C46" s="44">
        <f t="shared" si="31"/>
        <v>12.17611404833837</v>
      </c>
      <c r="D46" s="57">
        <f>B29-I29</f>
        <v>5.85</v>
      </c>
      <c r="E46" s="54"/>
    </row>
    <row r="47" spans="1:19">
      <c r="A47" s="46" t="s">
        <v>13</v>
      </c>
      <c r="B47" s="61">
        <f t="shared" si="29"/>
        <v>722.21450000000004</v>
      </c>
      <c r="C47" s="44">
        <f t="shared" si="31"/>
        <v>9.0913204934541803</v>
      </c>
      <c r="D47" s="57">
        <f t="shared" si="30"/>
        <v>1.8500000000000005</v>
      </c>
      <c r="E47" s="54"/>
    </row>
    <row r="48" spans="1:19" ht="15.75" thickBot="1">
      <c r="A48" s="77" t="s">
        <v>14</v>
      </c>
      <c r="B48" s="61">
        <f t="shared" si="29"/>
        <v>431.4559999999999</v>
      </c>
      <c r="C48" s="44">
        <f t="shared" si="31"/>
        <v>5.4312185297079552</v>
      </c>
      <c r="D48" s="57">
        <f t="shared" si="30"/>
        <v>-0.16000000000000014</v>
      </c>
      <c r="E48" s="54"/>
    </row>
    <row r="49" spans="1:5">
      <c r="A49" s="91" t="s">
        <v>15</v>
      </c>
      <c r="B49" s="74">
        <f t="shared" si="29"/>
        <v>5501.1025000000018</v>
      </c>
      <c r="C49" s="92">
        <f t="shared" si="31"/>
        <v>69.248520896273931</v>
      </c>
      <c r="D49" s="76">
        <f t="shared" si="30"/>
        <v>16.57</v>
      </c>
      <c r="E49" s="54"/>
    </row>
    <row r="50" spans="1:5">
      <c r="A50" s="43" t="s">
        <v>16</v>
      </c>
      <c r="B50" s="71">
        <f t="shared" si="29"/>
        <v>607.97050000000081</v>
      </c>
      <c r="C50" s="70">
        <f t="shared" si="31"/>
        <v>7.6532036757301203</v>
      </c>
      <c r="D50" s="72">
        <f t="shared" si="30"/>
        <v>-16.309999999999999</v>
      </c>
      <c r="E50" s="54"/>
    </row>
    <row r="51" spans="1:5" ht="15.75" thickBot="1">
      <c r="A51" s="45" t="s">
        <v>17</v>
      </c>
      <c r="B51" s="63">
        <f t="shared" si="29"/>
        <v>6088.0000000000018</v>
      </c>
      <c r="C51" s="64">
        <f t="shared" si="31"/>
        <v>76.636455186304147</v>
      </c>
      <c r="D51" s="65">
        <f t="shared" si="30"/>
        <v>0</v>
      </c>
      <c r="E51" s="54"/>
    </row>
    <row r="52" spans="1:5">
      <c r="A52" s="42"/>
      <c r="B52" s="41"/>
    </row>
  </sheetData>
  <mergeCells count="3">
    <mergeCell ref="A18:I18"/>
    <mergeCell ref="K18:S18"/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topLeftCell="A13" workbookViewId="0">
      <selection activeCell="A38" sqref="A38"/>
    </sheetView>
  </sheetViews>
  <sheetFormatPr defaultRowHeight="15"/>
  <cols>
    <col min="1" max="1" width="46.42578125" customWidth="1"/>
    <col min="2" max="3" width="8.85546875" customWidth="1"/>
    <col min="4" max="4" width="8.5703125" customWidth="1"/>
    <col min="5" max="5" width="8.7109375" customWidth="1"/>
    <col min="6" max="6" width="8.5703125" customWidth="1"/>
    <col min="7" max="7" width="8.7109375" customWidth="1"/>
    <col min="8" max="8" width="5.5703125" bestFit="1" customWidth="1"/>
    <col min="9" max="9" width="30.5703125" customWidth="1"/>
    <col min="10" max="11" width="10.7109375" bestFit="1" customWidth="1"/>
    <col min="12" max="12" width="12" bestFit="1" customWidth="1"/>
    <col min="13" max="14" width="10.7109375" bestFit="1" customWidth="1"/>
  </cols>
  <sheetData>
    <row r="1" spans="1:14" ht="30.75" customHeight="1" thickBot="1">
      <c r="A1" s="524" t="s">
        <v>305</v>
      </c>
      <c r="B1" s="163">
        <v>2010</v>
      </c>
      <c r="C1" s="163">
        <v>2011</v>
      </c>
      <c r="D1" s="163">
        <v>2012</v>
      </c>
      <c r="E1" s="163">
        <v>2013</v>
      </c>
      <c r="F1" s="163">
        <v>2014</v>
      </c>
      <c r="G1" s="164">
        <v>2015</v>
      </c>
    </row>
    <row r="2" spans="1:14">
      <c r="A2" s="485" t="s">
        <v>170</v>
      </c>
      <c r="B2" s="486">
        <v>836339</v>
      </c>
      <c r="C2" s="487">
        <f>B2</f>
        <v>836339</v>
      </c>
      <c r="D2" s="487">
        <f t="shared" ref="D2:E2" si="0">C2</f>
        <v>836339</v>
      </c>
      <c r="E2" s="487">
        <f t="shared" si="0"/>
        <v>836339</v>
      </c>
      <c r="F2" s="487">
        <f t="shared" ref="F2:F3" si="1">E2</f>
        <v>836339</v>
      </c>
      <c r="G2" s="488">
        <f t="shared" ref="G2:G3" si="2">F2</f>
        <v>836339</v>
      </c>
      <c r="H2" s="2"/>
      <c r="I2" s="2"/>
      <c r="J2" s="2"/>
      <c r="K2" s="2"/>
      <c r="L2" s="2"/>
      <c r="M2" s="2"/>
      <c r="N2" s="2"/>
    </row>
    <row r="3" spans="1:14">
      <c r="A3" s="489" t="s">
        <v>34</v>
      </c>
      <c r="B3" s="490">
        <v>241954</v>
      </c>
      <c r="C3" s="491">
        <f>B3</f>
        <v>241954</v>
      </c>
      <c r="D3" s="491">
        <f t="shared" ref="D3:E3" si="3">C3</f>
        <v>241954</v>
      </c>
      <c r="E3" s="491">
        <f t="shared" si="3"/>
        <v>241954</v>
      </c>
      <c r="F3" s="491">
        <f t="shared" si="1"/>
        <v>241954</v>
      </c>
      <c r="G3" s="492">
        <f t="shared" si="2"/>
        <v>241954</v>
      </c>
      <c r="H3" s="2"/>
      <c r="I3" s="2"/>
      <c r="J3" s="2"/>
      <c r="K3" s="2"/>
      <c r="L3" s="2"/>
      <c r="M3" s="2"/>
      <c r="N3" s="2"/>
    </row>
    <row r="4" spans="1:14">
      <c r="A4" s="493" t="s">
        <v>63</v>
      </c>
      <c r="B4" s="490">
        <f>B2-B3</f>
        <v>594385</v>
      </c>
      <c r="C4" s="490">
        <f t="shared" ref="C4:E4" si="4">C2-C3</f>
        <v>594385</v>
      </c>
      <c r="D4" s="490">
        <f t="shared" si="4"/>
        <v>594385</v>
      </c>
      <c r="E4" s="490">
        <f t="shared" si="4"/>
        <v>594385</v>
      </c>
      <c r="F4" s="490">
        <f t="shared" ref="F4:G4" si="5">F2-F3</f>
        <v>594385</v>
      </c>
      <c r="G4" s="494">
        <f t="shared" si="5"/>
        <v>594385</v>
      </c>
      <c r="H4" s="2"/>
      <c r="I4" s="2"/>
      <c r="J4" s="2"/>
      <c r="K4" s="2"/>
      <c r="L4" s="2"/>
      <c r="M4" s="2"/>
      <c r="N4" s="2"/>
    </row>
    <row r="5" spans="1:14">
      <c r="A5" s="495" t="s">
        <v>64</v>
      </c>
      <c r="B5" s="490">
        <v>208</v>
      </c>
      <c r="C5" s="491">
        <v>208</v>
      </c>
      <c r="D5" s="491">
        <v>208</v>
      </c>
      <c r="E5" s="491">
        <v>208</v>
      </c>
      <c r="F5" s="491">
        <v>208</v>
      </c>
      <c r="G5" s="492">
        <v>208</v>
      </c>
      <c r="H5" s="2"/>
      <c r="I5" s="2"/>
      <c r="J5" s="2"/>
      <c r="K5" s="2"/>
      <c r="L5" s="2"/>
      <c r="M5" s="2"/>
      <c r="N5" s="2"/>
    </row>
    <row r="6" spans="1:14">
      <c r="A6" s="489" t="s">
        <v>65</v>
      </c>
      <c r="B6" s="490">
        <v>1219</v>
      </c>
      <c r="C6" s="491">
        <v>1219</v>
      </c>
      <c r="D6" s="491">
        <v>1219</v>
      </c>
      <c r="E6" s="491">
        <v>1219</v>
      </c>
      <c r="F6" s="491">
        <v>1219</v>
      </c>
      <c r="G6" s="492">
        <v>1219</v>
      </c>
      <c r="H6" s="2"/>
      <c r="I6" s="2"/>
      <c r="J6" s="2"/>
      <c r="K6" s="2"/>
      <c r="L6" s="2"/>
      <c r="M6" s="2"/>
      <c r="N6" s="2"/>
    </row>
    <row r="7" spans="1:14">
      <c r="A7" s="489" t="s">
        <v>66</v>
      </c>
      <c r="B7" s="490">
        <v>170181</v>
      </c>
      <c r="C7" s="491">
        <v>170181</v>
      </c>
      <c r="D7" s="491">
        <v>170181</v>
      </c>
      <c r="E7" s="491">
        <v>170181</v>
      </c>
      <c r="F7" s="491">
        <v>170181</v>
      </c>
      <c r="G7" s="492">
        <v>170181</v>
      </c>
      <c r="H7" s="2"/>
      <c r="I7" s="2"/>
      <c r="J7" s="2"/>
      <c r="K7" s="2"/>
      <c r="L7" s="2"/>
      <c r="M7" s="2"/>
      <c r="N7" s="2"/>
    </row>
    <row r="8" spans="1:14" ht="15.75" thickBot="1">
      <c r="A8" s="452" t="s">
        <v>75</v>
      </c>
      <c r="B8" s="496"/>
      <c r="C8" s="497">
        <f>'Indtjening Forsikring'!B14</f>
        <v>49181.858749999999</v>
      </c>
      <c r="D8" s="497">
        <f>'Indtjening Forsikring'!C14</f>
        <v>50591.579062500001</v>
      </c>
      <c r="E8" s="497">
        <f>'Indtjening Forsikring'!D14</f>
        <v>52001.299375000002</v>
      </c>
      <c r="F8" s="497">
        <f>'Indtjening Forsikring'!E14</f>
        <v>53411.019687500004</v>
      </c>
      <c r="G8" s="498">
        <f>'Indtjening Forsikring'!F14</f>
        <v>11210.90625</v>
      </c>
      <c r="H8" s="2"/>
      <c r="I8" s="2"/>
      <c r="J8" s="2"/>
      <c r="K8" s="2"/>
      <c r="L8" s="2"/>
      <c r="M8" s="2"/>
      <c r="N8" s="2"/>
    </row>
    <row r="9" spans="1:14" ht="15.75" thickBot="1">
      <c r="A9" s="489" t="s">
        <v>67</v>
      </c>
      <c r="B9" s="490">
        <v>-25996</v>
      </c>
      <c r="C9" s="491">
        <f>B9</f>
        <v>-25996</v>
      </c>
      <c r="D9" s="491">
        <f t="shared" ref="D9:E9" si="6">C9</f>
        <v>-25996</v>
      </c>
      <c r="E9" s="491">
        <f t="shared" si="6"/>
        <v>-25996</v>
      </c>
      <c r="F9" s="491">
        <f t="shared" ref="F9" si="7">E9</f>
        <v>-25996</v>
      </c>
      <c r="G9" s="492">
        <f t="shared" ref="G9" si="8">F9</f>
        <v>-25996</v>
      </c>
      <c r="H9" s="2"/>
      <c r="I9" s="363" t="s">
        <v>187</v>
      </c>
      <c r="J9" s="364">
        <v>2011</v>
      </c>
      <c r="K9" s="365">
        <v>2012</v>
      </c>
      <c r="L9" s="365">
        <v>2013</v>
      </c>
      <c r="M9" s="365">
        <v>2014</v>
      </c>
      <c r="N9" s="366">
        <v>2015</v>
      </c>
    </row>
    <row r="10" spans="1:14">
      <c r="A10" s="493" t="s">
        <v>81</v>
      </c>
      <c r="B10" s="490">
        <f>SUM(B4:B9)</f>
        <v>739997</v>
      </c>
      <c r="C10" s="490">
        <f t="shared" ref="C10:E10" si="9">SUM(C4:C9)</f>
        <v>789178.85875000001</v>
      </c>
      <c r="D10" s="490">
        <f t="shared" si="9"/>
        <v>790588.57906250004</v>
      </c>
      <c r="E10" s="490">
        <f t="shared" si="9"/>
        <v>791998.29937499994</v>
      </c>
      <c r="F10" s="490">
        <f t="shared" ref="F10:G10" si="10">SUM(F4:F9)</f>
        <v>793408.01968749997</v>
      </c>
      <c r="G10" s="494">
        <f t="shared" si="10"/>
        <v>751207.90625</v>
      </c>
      <c r="H10" s="2"/>
      <c r="I10" s="563" t="s">
        <v>181</v>
      </c>
      <c r="J10" s="367">
        <f>2942939</f>
        <v>2942939</v>
      </c>
      <c r="K10" s="368">
        <f>J12</f>
        <v>2975377.8298451123</v>
      </c>
      <c r="L10" s="368">
        <f>K12</f>
        <v>3013790.6873998968</v>
      </c>
      <c r="M10" s="368">
        <f>L12</f>
        <v>3053273.9032963533</v>
      </c>
      <c r="N10" s="369">
        <f>M12</f>
        <v>3093827.4775344813</v>
      </c>
    </row>
    <row r="11" spans="1:14">
      <c r="A11" s="489" t="s">
        <v>68</v>
      </c>
      <c r="B11" s="499">
        <v>52159</v>
      </c>
      <c r="C11" s="371">
        <f>B11</f>
        <v>52159</v>
      </c>
      <c r="D11" s="371">
        <f t="shared" ref="D11:E11" si="11">C11</f>
        <v>52159</v>
      </c>
      <c r="E11" s="371">
        <f t="shared" si="11"/>
        <v>52159</v>
      </c>
      <c r="F11" s="371">
        <f t="shared" ref="F11:F13" si="12">E11</f>
        <v>52159</v>
      </c>
      <c r="G11" s="372">
        <f t="shared" ref="G11:G13" si="13">F11</f>
        <v>52159</v>
      </c>
      <c r="H11" s="2"/>
      <c r="I11" s="564" t="s">
        <v>180</v>
      </c>
      <c r="J11" s="370">
        <f>(C8-C14)+(B24-C24)</f>
        <v>32438.829845112494</v>
      </c>
      <c r="K11" s="371">
        <f>D8-(D24-B24)</f>
        <v>38412.857554784372</v>
      </c>
      <c r="L11" s="371">
        <f>E8-(E24-B24)</f>
        <v>39483.21589645627</v>
      </c>
      <c r="M11" s="371">
        <f>F8-(F24-B24)</f>
        <v>40553.574238128138</v>
      </c>
      <c r="N11" s="372">
        <f>G8-(G24-B24)</f>
        <v>8512.2941084375052</v>
      </c>
    </row>
    <row r="12" spans="1:14" ht="15.75" thickBot="1">
      <c r="A12" s="489" t="s">
        <v>69</v>
      </c>
      <c r="B12" s="499">
        <v>3893</v>
      </c>
      <c r="C12" s="371">
        <f>B12</f>
        <v>3893</v>
      </c>
      <c r="D12" s="371">
        <f t="shared" ref="D12:E12" si="14">C12</f>
        <v>3893</v>
      </c>
      <c r="E12" s="371">
        <f t="shared" si="14"/>
        <v>3893</v>
      </c>
      <c r="F12" s="371">
        <f t="shared" si="12"/>
        <v>3893</v>
      </c>
      <c r="G12" s="372">
        <f t="shared" si="13"/>
        <v>3893</v>
      </c>
      <c r="H12" s="2"/>
      <c r="I12" s="565" t="s">
        <v>182</v>
      </c>
      <c r="J12" s="374">
        <f>J10+J11</f>
        <v>2975377.8298451123</v>
      </c>
      <c r="K12" s="375">
        <f>K10+K11</f>
        <v>3013790.6873998968</v>
      </c>
      <c r="L12" s="375">
        <f>L10+L11</f>
        <v>3053273.9032963533</v>
      </c>
      <c r="M12" s="375">
        <f>M11+M10</f>
        <v>3093827.4775344813</v>
      </c>
      <c r="N12" s="376">
        <f>N10+N11</f>
        <v>3102339.7716429187</v>
      </c>
    </row>
    <row r="13" spans="1:14" ht="15.75" thickBot="1">
      <c r="A13" s="489" t="s">
        <v>70</v>
      </c>
      <c r="B13" s="499">
        <v>236374</v>
      </c>
      <c r="C13" s="371">
        <f>B13</f>
        <v>236374</v>
      </c>
      <c r="D13" s="371">
        <f t="shared" ref="D13:E13" si="15">C13</f>
        <v>236374</v>
      </c>
      <c r="E13" s="371">
        <f t="shared" si="15"/>
        <v>236374</v>
      </c>
      <c r="F13" s="371">
        <f t="shared" si="12"/>
        <v>236374</v>
      </c>
      <c r="G13" s="372">
        <f t="shared" si="13"/>
        <v>236374</v>
      </c>
      <c r="H13" s="2"/>
      <c r="I13" s="592" t="s">
        <v>304</v>
      </c>
      <c r="J13" s="380">
        <f>J9</f>
        <v>2011</v>
      </c>
      <c r="K13" s="381">
        <f t="shared" ref="K13:N13" si="16">K9</f>
        <v>2012</v>
      </c>
      <c r="L13" s="381">
        <f t="shared" si="16"/>
        <v>2013</v>
      </c>
      <c r="M13" s="381">
        <f t="shared" si="16"/>
        <v>2014</v>
      </c>
      <c r="N13" s="382">
        <f t="shared" si="16"/>
        <v>2015</v>
      </c>
    </row>
    <row r="14" spans="1:14" ht="15.75" thickBot="1">
      <c r="A14" s="452" t="s">
        <v>80</v>
      </c>
      <c r="B14" s="500"/>
      <c r="C14" s="497">
        <f>'Projektplan&amp;budget'!U15/1000</f>
        <v>6458.4</v>
      </c>
      <c r="D14" s="441">
        <v>0</v>
      </c>
      <c r="E14" s="441">
        <v>0</v>
      </c>
      <c r="F14" s="441">
        <v>0</v>
      </c>
      <c r="G14" s="404">
        <v>0</v>
      </c>
      <c r="H14" s="2"/>
      <c r="I14" s="593"/>
      <c r="J14" s="377">
        <f>(J12/$J$29)*100</f>
        <v>22.629982126828878</v>
      </c>
      <c r="K14" s="378">
        <f t="shared" ref="K14:N14" si="17">(K12/$J$29)*100</f>
        <v>22.922140746546244</v>
      </c>
      <c r="L14" s="378">
        <f t="shared" si="17"/>
        <v>23.222440245011299</v>
      </c>
      <c r="M14" s="378">
        <f t="shared" si="17"/>
        <v>23.530880622224043</v>
      </c>
      <c r="N14" s="379">
        <f t="shared" si="17"/>
        <v>23.595623009426099</v>
      </c>
    </row>
    <row r="15" spans="1:14">
      <c r="A15" s="489" t="s">
        <v>71</v>
      </c>
      <c r="B15" s="499">
        <v>3219</v>
      </c>
      <c r="C15" s="371">
        <f>B15</f>
        <v>3219</v>
      </c>
      <c r="D15" s="371">
        <f t="shared" ref="D15:E15" si="18">C15</f>
        <v>3219</v>
      </c>
      <c r="E15" s="371">
        <f t="shared" si="18"/>
        <v>3219</v>
      </c>
      <c r="F15" s="371">
        <f t="shared" ref="F15" si="19">E15</f>
        <v>3219</v>
      </c>
      <c r="G15" s="372">
        <f t="shared" ref="G15" si="20">F15</f>
        <v>3219</v>
      </c>
      <c r="H15" s="2"/>
      <c r="I15" s="2"/>
      <c r="J15" s="2"/>
      <c r="K15" s="2"/>
      <c r="L15" s="2"/>
      <c r="M15" s="2"/>
      <c r="N15" s="2"/>
    </row>
    <row r="16" spans="1:14">
      <c r="A16" s="489" t="s">
        <v>82</v>
      </c>
      <c r="B16" s="499"/>
      <c r="C16" s="402"/>
      <c r="D16" s="402"/>
      <c r="E16" s="402"/>
      <c r="F16" s="402"/>
      <c r="G16" s="435"/>
      <c r="H16" s="2"/>
      <c r="I16" s="594" t="s">
        <v>186</v>
      </c>
      <c r="J16" s="594"/>
      <c r="K16" s="2"/>
      <c r="L16" s="2"/>
      <c r="M16" s="2"/>
      <c r="N16" s="2"/>
    </row>
    <row r="17" spans="1:14">
      <c r="A17" s="489" t="s">
        <v>72</v>
      </c>
      <c r="B17" s="499">
        <v>195</v>
      </c>
      <c r="C17" s="371">
        <f>B17</f>
        <v>195</v>
      </c>
      <c r="D17" s="371">
        <f t="shared" ref="D17:E17" si="21">C17</f>
        <v>195</v>
      </c>
      <c r="E17" s="371">
        <f t="shared" si="21"/>
        <v>195</v>
      </c>
      <c r="F17" s="371">
        <f t="shared" ref="F17:F18" si="22">E17</f>
        <v>195</v>
      </c>
      <c r="G17" s="372">
        <f t="shared" ref="G17:G18" si="23">F17</f>
        <v>195</v>
      </c>
      <c r="H17" s="2"/>
      <c r="I17" s="361" t="s">
        <v>38</v>
      </c>
      <c r="J17" s="362">
        <v>25200</v>
      </c>
      <c r="K17" s="2"/>
      <c r="L17" s="2"/>
      <c r="M17" s="2"/>
      <c r="N17" s="2"/>
    </row>
    <row r="18" spans="1:14">
      <c r="A18" s="489" t="s">
        <v>73</v>
      </c>
      <c r="B18" s="499">
        <v>46590</v>
      </c>
      <c r="C18" s="371">
        <f>B18</f>
        <v>46590</v>
      </c>
      <c r="D18" s="371">
        <f t="shared" ref="D18:E18" si="24">C18</f>
        <v>46590</v>
      </c>
      <c r="E18" s="371">
        <f t="shared" si="24"/>
        <v>46590</v>
      </c>
      <c r="F18" s="371">
        <f t="shared" si="22"/>
        <v>46590</v>
      </c>
      <c r="G18" s="372">
        <f t="shared" si="23"/>
        <v>46590</v>
      </c>
      <c r="H18" s="2"/>
      <c r="I18" s="361" t="s">
        <v>41</v>
      </c>
      <c r="J18" s="362">
        <v>2287144</v>
      </c>
      <c r="K18" s="2"/>
      <c r="L18" s="2"/>
      <c r="M18" s="2"/>
      <c r="N18" s="2"/>
    </row>
    <row r="19" spans="1:14">
      <c r="A19" s="489" t="s">
        <v>74</v>
      </c>
      <c r="B19" s="499"/>
      <c r="C19" s="402"/>
      <c r="D19" s="402"/>
      <c r="E19" s="402"/>
      <c r="F19" s="402"/>
      <c r="G19" s="435"/>
      <c r="H19" s="2"/>
      <c r="I19" s="361" t="s">
        <v>42</v>
      </c>
      <c r="J19" s="362">
        <v>-60980</v>
      </c>
      <c r="K19" s="2"/>
      <c r="L19" s="2"/>
      <c r="M19" s="2"/>
      <c r="N19" s="2"/>
    </row>
    <row r="20" spans="1:14">
      <c r="A20" s="489" t="s">
        <v>76</v>
      </c>
      <c r="B20" s="499">
        <v>-138217</v>
      </c>
      <c r="C20" s="371">
        <f>B20</f>
        <v>-138217</v>
      </c>
      <c r="D20" s="371">
        <f t="shared" ref="D20:E20" si="25">C20</f>
        <v>-138217</v>
      </c>
      <c r="E20" s="371">
        <f t="shared" si="25"/>
        <v>-138217</v>
      </c>
      <c r="F20" s="371">
        <f t="shared" ref="F20:F22" si="26">E20</f>
        <v>-138217</v>
      </c>
      <c r="G20" s="372">
        <f t="shared" ref="G20:G22" si="27">F20</f>
        <v>-138217</v>
      </c>
      <c r="H20" s="132"/>
      <c r="I20" s="361" t="s">
        <v>39</v>
      </c>
      <c r="J20" s="362">
        <v>200000</v>
      </c>
      <c r="K20" s="132"/>
      <c r="L20" s="132">
        <f>(J22/J29)*100</f>
        <v>22.383260472776509</v>
      </c>
      <c r="M20" s="132"/>
      <c r="N20" s="2"/>
    </row>
    <row r="21" spans="1:14">
      <c r="A21" s="489" t="s">
        <v>77</v>
      </c>
      <c r="B21" s="499">
        <v>-33152</v>
      </c>
      <c r="C21" s="371">
        <f>B21</f>
        <v>-33152</v>
      </c>
      <c r="D21" s="371">
        <f t="shared" ref="D21:E21" si="28">C21</f>
        <v>-33152</v>
      </c>
      <c r="E21" s="371">
        <f t="shared" si="28"/>
        <v>-33152</v>
      </c>
      <c r="F21" s="371">
        <f t="shared" si="26"/>
        <v>-33152</v>
      </c>
      <c r="G21" s="372">
        <f t="shared" si="27"/>
        <v>-33152</v>
      </c>
      <c r="H21" s="50"/>
      <c r="I21" s="361" t="s">
        <v>40</v>
      </c>
      <c r="J21" s="362">
        <v>491575</v>
      </c>
      <c r="K21" s="50"/>
      <c r="L21" s="50"/>
      <c r="M21" s="50"/>
      <c r="N21" s="2"/>
    </row>
    <row r="22" spans="1:14" ht="15.75" thickBot="1">
      <c r="A22" s="501" t="s">
        <v>78</v>
      </c>
      <c r="B22" s="499">
        <v>14</v>
      </c>
      <c r="C22" s="371">
        <f>B22</f>
        <v>14</v>
      </c>
      <c r="D22" s="371">
        <f t="shared" ref="D22:E22" si="29">C22</f>
        <v>14</v>
      </c>
      <c r="E22" s="371">
        <f t="shared" si="29"/>
        <v>14</v>
      </c>
      <c r="F22" s="371">
        <f t="shared" si="26"/>
        <v>14</v>
      </c>
      <c r="G22" s="372">
        <f t="shared" si="27"/>
        <v>14</v>
      </c>
      <c r="H22" s="50"/>
      <c r="I22" s="361" t="s">
        <v>183</v>
      </c>
      <c r="J22" s="362">
        <v>2942939</v>
      </c>
      <c r="K22" s="50"/>
      <c r="L22" s="50"/>
      <c r="M22" s="50"/>
      <c r="N22" s="2"/>
    </row>
    <row r="23" spans="1:14" ht="15.75" thickBot="1">
      <c r="A23" s="502" t="s">
        <v>1</v>
      </c>
      <c r="B23" s="499">
        <f>B10+B11+B12-B13-B15-B17-B18+B20+B21+B22</f>
        <v>338316</v>
      </c>
      <c r="C23" s="499">
        <f>C10+C11+C12-C13-C15-C17-C18+C20+C21+C22-C14</f>
        <v>381039.45874999999</v>
      </c>
      <c r="D23" s="499">
        <f>D10+D11+D12-D13-D15-D17-D18+D20+D21+D22</f>
        <v>388907.57906250004</v>
      </c>
      <c r="E23" s="499">
        <f t="shared" ref="E23" si="30">E10+E11+E12-E13-E15-E17-E18+E20+E21+E22</f>
        <v>390317.29937499994</v>
      </c>
      <c r="F23" s="499">
        <f t="shared" ref="F23:G23" si="31">F10+F11+F12-F13-F15-F17-F18+F20+F21+F22</f>
        <v>391727.01968749997</v>
      </c>
      <c r="G23" s="503">
        <f t="shared" si="31"/>
        <v>349526.90625</v>
      </c>
      <c r="H23" s="2"/>
      <c r="I23" s="255"/>
      <c r="J23" s="255"/>
      <c r="K23" s="255"/>
      <c r="L23" s="255"/>
      <c r="M23" s="2"/>
      <c r="N23" s="2"/>
    </row>
    <row r="24" spans="1:14" ht="15.75" thickBot="1">
      <c r="A24" s="504" t="s">
        <v>191</v>
      </c>
      <c r="B24" s="499">
        <v>81443</v>
      </c>
      <c r="C24" s="371">
        <f>C23*0.24073</f>
        <v>91727.628904887504</v>
      </c>
      <c r="D24" s="371">
        <f t="shared" ref="D24:G24" si="32">D23*0.24073</f>
        <v>93621.721507715629</v>
      </c>
      <c r="E24" s="371">
        <f t="shared" si="32"/>
        <v>93961.083478543733</v>
      </c>
      <c r="F24" s="371">
        <f t="shared" si="32"/>
        <v>94300.445449371866</v>
      </c>
      <c r="G24" s="371">
        <f t="shared" si="32"/>
        <v>84141.612141562495</v>
      </c>
      <c r="H24" s="2"/>
      <c r="I24" s="595" t="s">
        <v>49</v>
      </c>
      <c r="J24" s="594"/>
      <c r="K24" s="2"/>
      <c r="L24" s="2"/>
      <c r="M24" s="2"/>
      <c r="N24" s="2"/>
    </row>
    <row r="25" spans="1:14" ht="15.75" thickBot="1">
      <c r="A25" s="502" t="s">
        <v>79</v>
      </c>
      <c r="B25" s="505">
        <f>B23-B24</f>
        <v>256873</v>
      </c>
      <c r="C25" s="505">
        <f t="shared" ref="C25:E25" si="33">C23-C24</f>
        <v>289311.82984511252</v>
      </c>
      <c r="D25" s="505">
        <f t="shared" si="33"/>
        <v>295285.85755478439</v>
      </c>
      <c r="E25" s="505">
        <f t="shared" si="33"/>
        <v>296356.21589645621</v>
      </c>
      <c r="F25" s="505">
        <f t="shared" ref="F25:G25" si="34">F23-F24</f>
        <v>297426.57423812809</v>
      </c>
      <c r="G25" s="506">
        <f t="shared" si="34"/>
        <v>265385.29410843749</v>
      </c>
      <c r="H25" s="2"/>
      <c r="I25" s="358" t="s">
        <v>184</v>
      </c>
      <c r="J25" s="596">
        <v>11110261</v>
      </c>
      <c r="K25" s="2"/>
      <c r="L25" s="2"/>
      <c r="M25" s="2"/>
      <c r="N25" s="2"/>
    </row>
    <row r="26" spans="1:14" ht="15.75" thickBot="1">
      <c r="A26" s="2"/>
      <c r="B26" s="2"/>
      <c r="C26" s="2"/>
      <c r="D26" s="2"/>
      <c r="E26" s="2"/>
      <c r="F26" s="2"/>
      <c r="G26" s="2"/>
      <c r="H26" s="2"/>
      <c r="I26" s="359" t="s">
        <v>185</v>
      </c>
      <c r="J26" s="596"/>
      <c r="K26" s="2"/>
      <c r="L26" s="2"/>
      <c r="M26" s="2"/>
      <c r="N26" s="2"/>
    </row>
    <row r="27" spans="1:14" ht="15.75" thickBot="1">
      <c r="A27" s="507" t="s">
        <v>175</v>
      </c>
      <c r="B27" s="502">
        <v>2010</v>
      </c>
      <c r="C27" s="508">
        <v>2011</v>
      </c>
      <c r="D27" s="508">
        <v>2012</v>
      </c>
      <c r="E27" s="508">
        <v>2013</v>
      </c>
      <c r="F27" s="508">
        <v>2014</v>
      </c>
      <c r="G27" s="509">
        <v>2015</v>
      </c>
      <c r="I27" s="359" t="s">
        <v>45</v>
      </c>
      <c r="J27" s="360">
        <v>714897</v>
      </c>
    </row>
    <row r="28" spans="1:14">
      <c r="A28" s="510" t="s">
        <v>176</v>
      </c>
      <c r="B28" s="511">
        <f>B25</f>
        <v>256873</v>
      </c>
      <c r="C28" s="512">
        <f t="shared" ref="C28:G28" si="35">C25</f>
        <v>289311.82984511252</v>
      </c>
      <c r="D28" s="512">
        <f t="shared" si="35"/>
        <v>295285.85755478439</v>
      </c>
      <c r="E28" s="512">
        <f t="shared" si="35"/>
        <v>296356.21589645621</v>
      </c>
      <c r="F28" s="512">
        <f t="shared" si="35"/>
        <v>297426.57423812809</v>
      </c>
      <c r="G28" s="513">
        <f t="shared" si="35"/>
        <v>265385.29410843749</v>
      </c>
      <c r="I28" s="361" t="s">
        <v>46</v>
      </c>
      <c r="J28" s="360">
        <v>1322788</v>
      </c>
    </row>
    <row r="29" spans="1:14">
      <c r="A29" s="514" t="s">
        <v>177</v>
      </c>
      <c r="B29" s="515">
        <v>60480</v>
      </c>
      <c r="C29" s="516">
        <v>60480</v>
      </c>
      <c r="D29" s="516">
        <v>60480</v>
      </c>
      <c r="E29" s="516">
        <v>60480</v>
      </c>
      <c r="F29" s="516">
        <v>60480</v>
      </c>
      <c r="G29" s="517">
        <v>60480</v>
      </c>
      <c r="I29" s="361" t="s">
        <v>47</v>
      </c>
      <c r="J29" s="360">
        <v>13147946</v>
      </c>
    </row>
    <row r="30" spans="1:14">
      <c r="A30" s="514" t="s">
        <v>178</v>
      </c>
      <c r="B30" s="518">
        <f>B28-B29</f>
        <v>196393</v>
      </c>
      <c r="C30" s="519">
        <f t="shared" ref="C30:D30" si="36">C28-C29</f>
        <v>228831.82984511252</v>
      </c>
      <c r="D30" s="519">
        <f t="shared" si="36"/>
        <v>234805.85755478439</v>
      </c>
      <c r="E30" s="519">
        <f>E28-E29</f>
        <v>235876.21589645621</v>
      </c>
      <c r="F30" s="519">
        <f t="shared" ref="F30" si="37">F28-F29</f>
        <v>236946.57423812809</v>
      </c>
      <c r="G30" s="520">
        <f t="shared" ref="G30" si="38">G28-G29</f>
        <v>204905.29410843749</v>
      </c>
    </row>
    <row r="31" spans="1:14">
      <c r="A31" s="373" t="s">
        <v>179</v>
      </c>
      <c r="B31" s="521">
        <f>B29+B30</f>
        <v>256873</v>
      </c>
      <c r="C31" s="522">
        <f t="shared" ref="C31:G31" si="39">C29+C30</f>
        <v>289311.82984511252</v>
      </c>
      <c r="D31" s="522">
        <f t="shared" si="39"/>
        <v>295285.85755478439</v>
      </c>
      <c r="E31" s="522">
        <f t="shared" si="39"/>
        <v>296356.21589645621</v>
      </c>
      <c r="F31" s="522">
        <f t="shared" si="39"/>
        <v>297426.57423812809</v>
      </c>
      <c r="G31" s="523">
        <f t="shared" si="39"/>
        <v>265385.29410843749</v>
      </c>
      <c r="I31" s="566" t="s">
        <v>188</v>
      </c>
      <c r="J31" s="567">
        <v>2011</v>
      </c>
      <c r="K31" s="567">
        <v>2012</v>
      </c>
      <c r="L31" s="567">
        <v>2013</v>
      </c>
      <c r="M31" s="567">
        <v>2014</v>
      </c>
      <c r="N31" s="567">
        <v>2015</v>
      </c>
    </row>
    <row r="32" spans="1:14">
      <c r="A32" s="570"/>
      <c r="B32" s="571">
        <f>C27</f>
        <v>2011</v>
      </c>
      <c r="C32" s="571">
        <f t="shared" ref="C32:F32" si="40">D27</f>
        <v>2012</v>
      </c>
      <c r="D32" s="571">
        <f t="shared" si="40"/>
        <v>2013</v>
      </c>
      <c r="E32" s="571">
        <f t="shared" si="40"/>
        <v>2014</v>
      </c>
      <c r="F32" s="571">
        <f t="shared" si="40"/>
        <v>2015</v>
      </c>
      <c r="G32" s="571" t="s">
        <v>17</v>
      </c>
      <c r="I32" s="568" t="s">
        <v>189</v>
      </c>
      <c r="J32" s="569">
        <v>2312344</v>
      </c>
      <c r="K32" s="371">
        <f>J34</f>
        <v>2344782.8298451127</v>
      </c>
      <c r="L32" s="371">
        <f>K34</f>
        <v>2383195.6873998973</v>
      </c>
      <c r="M32" s="371">
        <f>L34</f>
        <v>2422678.9032963533</v>
      </c>
      <c r="N32" s="371">
        <f>M34</f>
        <v>2463232.4775344813</v>
      </c>
    </row>
    <row r="33" spans="1:14">
      <c r="A33" s="572" t="s">
        <v>311</v>
      </c>
      <c r="B33" s="519">
        <f>(C31-B31)</f>
        <v>32438.829845112516</v>
      </c>
      <c r="C33" s="519">
        <f>D31-B31</f>
        <v>38412.857554784394</v>
      </c>
      <c r="D33" s="519">
        <f>E31-B31</f>
        <v>39483.215896456211</v>
      </c>
      <c r="E33" s="519">
        <f>F31-B31</f>
        <v>40553.574238128087</v>
      </c>
      <c r="F33" s="519">
        <f>G31-B31</f>
        <v>8512.2941084374906</v>
      </c>
      <c r="G33" s="519">
        <f>SUM(B33:F33)</f>
        <v>159400.7716429187</v>
      </c>
      <c r="I33" s="568" t="s">
        <v>180</v>
      </c>
      <c r="J33" s="371">
        <f>B33</f>
        <v>32438.829845112516</v>
      </c>
      <c r="K33" s="371">
        <f t="shared" ref="K33:N33" si="41">C33</f>
        <v>38412.857554784394</v>
      </c>
      <c r="L33" s="371">
        <f t="shared" si="41"/>
        <v>39483.215896456211</v>
      </c>
      <c r="M33" s="371">
        <f t="shared" si="41"/>
        <v>40553.574238128087</v>
      </c>
      <c r="N33" s="371">
        <f t="shared" si="41"/>
        <v>8512.2941084374906</v>
      </c>
    </row>
    <row r="34" spans="1:14">
      <c r="A34" s="568" t="s">
        <v>310</v>
      </c>
      <c r="B34" s="573">
        <f>((C31-$B$31)/$B$31)</f>
        <v>0.12628353250482735</v>
      </c>
      <c r="C34" s="573">
        <f>((D31-$B$31)/$B$31)</f>
        <v>0.14954026913994228</v>
      </c>
      <c r="D34" s="573">
        <f>((E31-$B$31)/$B$31)</f>
        <v>0.15370714670851437</v>
      </c>
      <c r="E34" s="573">
        <f>((F31-$B$31)/$B$31)</f>
        <v>0.15787402427708669</v>
      </c>
      <c r="F34" s="573">
        <f>((G31-$B$31)/$B$31)</f>
        <v>3.3138142616925451E-2</v>
      </c>
      <c r="G34" s="574">
        <f>(B34+C34+D34+E34+F34)/5</f>
        <v>0.12410862304945924</v>
      </c>
      <c r="I34" s="568" t="s">
        <v>190</v>
      </c>
      <c r="J34" s="371">
        <f>J32+J33</f>
        <v>2344782.8298451127</v>
      </c>
      <c r="K34" s="371">
        <f>K32+K33</f>
        <v>2383195.6873998973</v>
      </c>
      <c r="L34" s="371">
        <f>L32+L33</f>
        <v>2422678.9032963533</v>
      </c>
      <c r="M34" s="371">
        <f>M33+M32</f>
        <v>2463232.4775344813</v>
      </c>
      <c r="N34" s="371">
        <f>N32+N33</f>
        <v>2471744.7716429187</v>
      </c>
    </row>
    <row r="35" spans="1:14" ht="4.5" customHeight="1">
      <c r="B35" s="483">
        <f>B33/1000</f>
        <v>32.438829845112515</v>
      </c>
      <c r="C35" s="483">
        <f t="shared" ref="C35:F35" si="42">C33/1000</f>
        <v>38.412857554784395</v>
      </c>
      <c r="D35" s="483">
        <f t="shared" si="42"/>
        <v>39.483215896456208</v>
      </c>
      <c r="E35" s="483">
        <f t="shared" si="42"/>
        <v>40.553574238128085</v>
      </c>
      <c r="F35" s="483">
        <f t="shared" si="42"/>
        <v>8.5122941084374908</v>
      </c>
      <c r="G35" s="484"/>
      <c r="H35" s="7"/>
      <c r="I35" s="589"/>
      <c r="J35" s="590"/>
      <c r="K35" s="590"/>
      <c r="L35" s="590"/>
      <c r="M35" s="590"/>
      <c r="N35" s="591"/>
    </row>
    <row r="36" spans="1:14">
      <c r="I36" s="566" t="s">
        <v>309</v>
      </c>
      <c r="J36" s="567">
        <v>2011</v>
      </c>
      <c r="K36" s="567">
        <v>2012</v>
      </c>
      <c r="L36" s="567">
        <v>2013</v>
      </c>
      <c r="M36" s="567">
        <v>2014</v>
      </c>
      <c r="N36" s="567">
        <v>2015</v>
      </c>
    </row>
    <row r="37" spans="1:14">
      <c r="B37" s="6"/>
      <c r="I37" s="568" t="s">
        <v>308</v>
      </c>
      <c r="J37" s="569">
        <v>18247204</v>
      </c>
      <c r="K37" s="371">
        <f>J39</f>
        <v>18279642.829845112</v>
      </c>
      <c r="L37" s="371">
        <f>K39</f>
        <v>18318055.687399898</v>
      </c>
      <c r="M37" s="371">
        <f>L39</f>
        <v>18357538.903296355</v>
      </c>
      <c r="N37" s="371">
        <f>M39</f>
        <v>18398092.477534484</v>
      </c>
    </row>
    <row r="38" spans="1:14">
      <c r="I38" s="568" t="s">
        <v>180</v>
      </c>
      <c r="J38" s="371">
        <f>J33</f>
        <v>32438.829845112516</v>
      </c>
      <c r="K38" s="371">
        <f t="shared" ref="K38:N38" si="43">K33</f>
        <v>38412.857554784394</v>
      </c>
      <c r="L38" s="371">
        <f t="shared" si="43"/>
        <v>39483.215896456211</v>
      </c>
      <c r="M38" s="371">
        <f t="shared" si="43"/>
        <v>40553.574238128087</v>
      </c>
      <c r="N38" s="371">
        <f t="shared" si="43"/>
        <v>8512.2941084374906</v>
      </c>
    </row>
    <row r="39" spans="1:14">
      <c r="B39" s="6"/>
      <c r="I39" s="568" t="s">
        <v>307</v>
      </c>
      <c r="J39" s="371">
        <f>J37+J38</f>
        <v>18279642.829845112</v>
      </c>
      <c r="K39" s="371">
        <f>K37+K38</f>
        <v>18318055.687399898</v>
      </c>
      <c r="L39" s="371">
        <f>L37+L38</f>
        <v>18357538.903296355</v>
      </c>
      <c r="M39" s="371">
        <f>M38+M37</f>
        <v>18398092.477534484</v>
      </c>
      <c r="N39" s="371">
        <f>N37+N38</f>
        <v>18406604.771642923</v>
      </c>
    </row>
  </sheetData>
  <mergeCells count="5">
    <mergeCell ref="I35:N35"/>
    <mergeCell ref="I13:I14"/>
    <mergeCell ref="I16:J16"/>
    <mergeCell ref="I24:J24"/>
    <mergeCell ref="J25:J2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G17" sqref="G17"/>
    </sheetView>
  </sheetViews>
  <sheetFormatPr defaultRowHeight="15"/>
  <cols>
    <col min="1" max="1" width="16.42578125" bestFit="1" customWidth="1"/>
    <col min="2" max="2" width="12.5703125" bestFit="1" customWidth="1"/>
    <col min="3" max="3" width="12.42578125" bestFit="1" customWidth="1"/>
    <col min="4" max="4" width="13.85546875" bestFit="1" customWidth="1"/>
    <col min="7" max="7" width="21.42578125" customWidth="1"/>
    <col min="8" max="8" width="6.85546875" bestFit="1" customWidth="1"/>
    <col min="9" max="9" width="7.85546875" customWidth="1"/>
    <col min="10" max="12" width="7.28515625" bestFit="1" customWidth="1"/>
    <col min="13" max="13" width="7.42578125" customWidth="1"/>
    <col min="14" max="15" width="8" bestFit="1" customWidth="1"/>
  </cols>
  <sheetData>
    <row r="1" spans="1:17" ht="15.75">
      <c r="A1" s="165" t="s">
        <v>83</v>
      </c>
      <c r="B1">
        <v>300</v>
      </c>
      <c r="G1" s="543" t="s">
        <v>84</v>
      </c>
      <c r="H1" s="544">
        <v>2010</v>
      </c>
      <c r="I1" s="545">
        <v>2011</v>
      </c>
      <c r="J1" s="544">
        <v>2012</v>
      </c>
      <c r="K1" s="545">
        <v>2013</v>
      </c>
      <c r="L1" s="544">
        <v>2014</v>
      </c>
      <c r="M1" s="545">
        <v>2015</v>
      </c>
      <c r="N1" s="349"/>
      <c r="O1" s="349"/>
    </row>
    <row r="2" spans="1:17" ht="15.75">
      <c r="A2" s="165" t="s">
        <v>85</v>
      </c>
      <c r="B2" s="41">
        <f>M2</f>
        <v>265.38529410843751</v>
      </c>
      <c r="G2" s="546" t="s">
        <v>86</v>
      </c>
      <c r="H2" s="547">
        <f>'NY Resultatopgørelse'!B25/1000</f>
        <v>256.87299999999999</v>
      </c>
      <c r="I2" s="548">
        <f>'NY Resultatopgørelse'!C25/1000</f>
        <v>289.31182984511253</v>
      </c>
      <c r="J2" s="549">
        <f>'NY Resultatopgørelse'!D25/1000</f>
        <v>295.2858575547844</v>
      </c>
      <c r="K2" s="548">
        <f>'NY Resultatopgørelse'!E25/1000</f>
        <v>296.35621589645621</v>
      </c>
      <c r="L2" s="549">
        <f>'NY Resultatopgørelse'!F25/1000</f>
        <v>297.42657423812807</v>
      </c>
      <c r="M2" s="548">
        <f>'NY Resultatopgørelse'!G25/1000</f>
        <v>265.38529410843751</v>
      </c>
      <c r="N2" s="350"/>
      <c r="O2" s="356"/>
    </row>
    <row r="3" spans="1:17" ht="15.75">
      <c r="A3" s="165" t="s">
        <v>3</v>
      </c>
      <c r="B3">
        <v>60.4</v>
      </c>
      <c r="G3" s="546" t="s">
        <v>34</v>
      </c>
      <c r="H3" s="550">
        <v>242</v>
      </c>
      <c r="I3" s="551">
        <v>242</v>
      </c>
      <c r="J3" s="550">
        <v>242</v>
      </c>
      <c r="K3" s="551">
        <v>242</v>
      </c>
      <c r="L3" s="550">
        <v>242</v>
      </c>
      <c r="M3" s="551">
        <v>242</v>
      </c>
      <c r="N3" s="350"/>
      <c r="O3" s="350"/>
    </row>
    <row r="4" spans="1:17" ht="15.75">
      <c r="A4" s="165" t="s">
        <v>34</v>
      </c>
      <c r="B4">
        <v>242</v>
      </c>
      <c r="D4">
        <f>360/B1</f>
        <v>1.2</v>
      </c>
      <c r="G4" s="546" t="s">
        <v>3</v>
      </c>
      <c r="H4" s="550">
        <v>60.4</v>
      </c>
      <c r="I4" s="551">
        <v>60.4</v>
      </c>
      <c r="J4" s="550">
        <v>60.4</v>
      </c>
      <c r="K4" s="551">
        <v>60.4</v>
      </c>
      <c r="L4" s="550">
        <v>60.4</v>
      </c>
      <c r="M4" s="551">
        <v>60.4</v>
      </c>
      <c r="N4" s="350"/>
      <c r="O4" s="350"/>
    </row>
    <row r="5" spans="1:17" ht="15.75">
      <c r="A5" s="165" t="s">
        <v>19</v>
      </c>
      <c r="B5" s="6">
        <f>M6</f>
        <v>18406.400771642919</v>
      </c>
      <c r="G5" s="546" t="s">
        <v>2</v>
      </c>
      <c r="H5" s="552">
        <v>2312</v>
      </c>
      <c r="I5" s="553">
        <f>H5+'NY Resultatopgørelse'!B35</f>
        <v>2344.4388298451127</v>
      </c>
      <c r="J5" s="554">
        <f>I5+'NY Resultatopgørelse'!C35</f>
        <v>2382.8516873998969</v>
      </c>
      <c r="K5" s="553">
        <f>J5+'NY Resultatopgørelse'!D35</f>
        <v>2422.3349032963533</v>
      </c>
      <c r="L5" s="554">
        <f>K5+'NY Resultatopgørelse'!E35</f>
        <v>2462.8884775344814</v>
      </c>
      <c r="M5" s="553">
        <f>L5+'NY Resultatopgørelse'!F35</f>
        <v>2471.4007716429187</v>
      </c>
      <c r="N5" s="351"/>
      <c r="O5" s="351"/>
      <c r="P5" s="185"/>
      <c r="Q5" s="141"/>
    </row>
    <row r="6" spans="1:17" ht="15.75">
      <c r="A6" s="165" t="s">
        <v>2</v>
      </c>
      <c r="B6" s="6">
        <f>M5</f>
        <v>2471.4007716429187</v>
      </c>
      <c r="C6" t="s">
        <v>87</v>
      </c>
      <c r="G6" s="546" t="s">
        <v>19</v>
      </c>
      <c r="H6" s="555">
        <v>18247</v>
      </c>
      <c r="I6" s="556">
        <f>H6+'NY Resultatopgørelse'!B35</f>
        <v>18279.438829845112</v>
      </c>
      <c r="J6" s="557">
        <f>I6+'NY Resultatopgørelse'!C35</f>
        <v>18317.851687399896</v>
      </c>
      <c r="K6" s="556">
        <f>J6+'NY Resultatopgørelse'!D35</f>
        <v>18357.334903296352</v>
      </c>
      <c r="L6" s="557">
        <f>K6+'NY Resultatopgørelse'!E35</f>
        <v>18397.888477534481</v>
      </c>
      <c r="M6" s="556">
        <f>L6+'NY Resultatopgørelse'!F35</f>
        <v>18406.400771642919</v>
      </c>
      <c r="N6" s="352"/>
      <c r="O6" s="352"/>
      <c r="P6" s="6"/>
    </row>
    <row r="7" spans="1:17" ht="15.75">
      <c r="A7" s="165" t="s">
        <v>88</v>
      </c>
      <c r="B7">
        <v>0</v>
      </c>
      <c r="G7" s="546" t="s">
        <v>37</v>
      </c>
      <c r="H7" s="558">
        <v>0.23964497041420099</v>
      </c>
      <c r="I7" s="559">
        <f>H7</f>
        <v>0.23964497041420099</v>
      </c>
      <c r="J7" s="558">
        <f>I7</f>
        <v>0.23964497041420099</v>
      </c>
      <c r="K7" s="559">
        <f>J7</f>
        <v>0.23964497041420099</v>
      </c>
      <c r="L7" s="558">
        <f>K7</f>
        <v>0.23964497041420099</v>
      </c>
      <c r="M7" s="559">
        <f>L7</f>
        <v>0.23964497041420099</v>
      </c>
      <c r="N7" s="353"/>
      <c r="O7" s="353"/>
    </row>
    <row r="8" spans="1:17" ht="15.75" thickBot="1">
      <c r="A8" s="165" t="s">
        <v>89</v>
      </c>
      <c r="B8">
        <v>0</v>
      </c>
      <c r="N8" s="2"/>
      <c r="O8" s="2"/>
    </row>
    <row r="9" spans="1:17" ht="16.5" thickBot="1">
      <c r="A9" t="s">
        <v>90</v>
      </c>
      <c r="B9" s="195">
        <f>I7</f>
        <v>0.23964497041420099</v>
      </c>
      <c r="G9" s="526" t="s">
        <v>91</v>
      </c>
      <c r="H9" s="527">
        <v>2010</v>
      </c>
      <c r="I9" s="528">
        <v>2011</v>
      </c>
      <c r="J9" s="529">
        <v>2012</v>
      </c>
      <c r="K9" s="528">
        <v>2013</v>
      </c>
      <c r="L9" s="529">
        <v>2014</v>
      </c>
      <c r="M9" s="530">
        <v>2015</v>
      </c>
      <c r="N9" s="349"/>
      <c r="O9" s="349"/>
    </row>
    <row r="10" spans="1:17" ht="16.5" thickBot="1">
      <c r="A10" t="s">
        <v>92</v>
      </c>
      <c r="B10">
        <v>1</v>
      </c>
      <c r="G10" s="531" t="s">
        <v>306</v>
      </c>
      <c r="H10" s="532">
        <f t="shared" ref="H10:M10" si="0">H11+H12</f>
        <v>2.6040000000000001E-2</v>
      </c>
      <c r="I10" s="533">
        <f t="shared" si="0"/>
        <v>2.6110000000000001E-2</v>
      </c>
      <c r="J10" s="533">
        <f t="shared" si="0"/>
        <v>2.6230000000000003E-2</v>
      </c>
      <c r="K10" s="533">
        <f t="shared" si="0"/>
        <v>2.6339999999999999E-2</v>
      </c>
      <c r="L10" s="533">
        <f t="shared" si="0"/>
        <v>2.6349999999999998E-2</v>
      </c>
      <c r="M10" s="534">
        <f t="shared" si="0"/>
        <v>2.648E-2</v>
      </c>
      <c r="N10" s="354"/>
      <c r="O10" s="354"/>
    </row>
    <row r="11" spans="1:17" ht="15.75">
      <c r="A11" t="s">
        <v>94</v>
      </c>
      <c r="B11">
        <v>4</v>
      </c>
      <c r="C11" t="s">
        <v>95</v>
      </c>
      <c r="G11" s="535" t="s">
        <v>96</v>
      </c>
      <c r="H11" s="536">
        <v>1.5900000000000001E-2</v>
      </c>
      <c r="I11" s="537">
        <v>1.585E-2</v>
      </c>
      <c r="J11" s="537">
        <v>1.5820000000000001E-2</v>
      </c>
      <c r="K11" s="537">
        <v>1.5779999999999999E-2</v>
      </c>
      <c r="L11" s="537">
        <v>1.575E-2</v>
      </c>
      <c r="M11" s="538">
        <v>1.5740000000000001E-2</v>
      </c>
      <c r="N11" s="354"/>
      <c r="O11" s="354"/>
    </row>
    <row r="12" spans="1:17" ht="16.5" thickBot="1">
      <c r="A12" t="s">
        <v>97</v>
      </c>
      <c r="B12">
        <v>8</v>
      </c>
      <c r="C12" t="s">
        <v>98</v>
      </c>
      <c r="G12" s="539" t="s">
        <v>99</v>
      </c>
      <c r="H12" s="540">
        <v>1.014E-2</v>
      </c>
      <c r="I12" s="541">
        <v>1.026E-2</v>
      </c>
      <c r="J12" s="541">
        <v>1.0410000000000001E-2</v>
      </c>
      <c r="K12" s="541">
        <v>1.056E-2</v>
      </c>
      <c r="L12" s="541">
        <v>1.06E-2</v>
      </c>
      <c r="M12" s="542">
        <v>1.074E-2</v>
      </c>
      <c r="N12" s="354"/>
      <c r="O12" s="354"/>
      <c r="P12" s="141"/>
      <c r="Q12" s="141"/>
    </row>
    <row r="13" spans="1:17" ht="15.75" thickBot="1">
      <c r="A13" t="s">
        <v>100</v>
      </c>
      <c r="B13" s="212">
        <f>B4*D4/(B5-B6-B8+B7)</f>
        <v>1.8224035142767492E-2</v>
      </c>
      <c r="C13" s="213">
        <f>B13*100</f>
        <v>1.8224035142767492</v>
      </c>
      <c r="G13" s="42"/>
      <c r="H13" s="115"/>
      <c r="I13" s="115"/>
      <c r="J13" s="115"/>
      <c r="K13" s="115"/>
      <c r="L13" s="115"/>
      <c r="M13" s="115"/>
      <c r="N13" s="115"/>
      <c r="O13" s="115"/>
    </row>
    <row r="14" spans="1:17" ht="15.75">
      <c r="A14" t="s">
        <v>101</v>
      </c>
      <c r="B14" s="214">
        <f>(B5-B6-B8)/(B5-B8-B7)</f>
        <v>0.86573144840731797</v>
      </c>
      <c r="G14" s="597" t="s">
        <v>102</v>
      </c>
      <c r="H14" s="527">
        <v>2010</v>
      </c>
      <c r="I14" s="528">
        <v>2010</v>
      </c>
      <c r="J14" s="529">
        <f>J1</f>
        <v>2012</v>
      </c>
      <c r="K14" s="528">
        <v>2012</v>
      </c>
      <c r="L14" s="529">
        <v>2014</v>
      </c>
      <c r="M14" s="530">
        <v>2015</v>
      </c>
      <c r="N14" s="349"/>
      <c r="O14" s="349"/>
    </row>
    <row r="15" spans="1:17" ht="16.5" thickBot="1">
      <c r="A15" t="s">
        <v>103</v>
      </c>
      <c r="B15" s="219">
        <f>(B11/100)+B10*((B12/100)-(B11/100))</f>
        <v>0.08</v>
      </c>
      <c r="C15" s="7">
        <f>B15*100</f>
        <v>8</v>
      </c>
      <c r="G15" s="598"/>
      <c r="H15" s="560">
        <v>8.5000000000000006E-2</v>
      </c>
      <c r="I15" s="561">
        <v>9.7600000000000006E-2</v>
      </c>
      <c r="J15" s="561">
        <v>9.8599999999999993E-2</v>
      </c>
      <c r="K15" s="561">
        <v>9.74E-2</v>
      </c>
      <c r="L15" s="561">
        <v>9.6199999999999994E-2</v>
      </c>
      <c r="M15" s="562">
        <v>8.2900000000000001E-2</v>
      </c>
      <c r="N15" s="355"/>
      <c r="O15" s="355"/>
    </row>
    <row r="16" spans="1:17" ht="15.75">
      <c r="A16" t="s">
        <v>104</v>
      </c>
      <c r="B16" s="223">
        <f>B13*(1-(B9/100))*B14</f>
        <v>1.5739311264603022E-2</v>
      </c>
      <c r="C16" s="525">
        <f>B16*100</f>
        <v>1.5739311264603022</v>
      </c>
      <c r="G16" s="161"/>
    </row>
    <row r="17" spans="1:17" ht="15.75">
      <c r="A17" t="s">
        <v>106</v>
      </c>
      <c r="B17" s="212">
        <f>B15*(1-B14)</f>
        <v>1.0741484127414562E-2</v>
      </c>
      <c r="C17" s="224">
        <f>B17*100</f>
        <v>1.0741484127414562</v>
      </c>
      <c r="G17" s="225"/>
      <c r="L17" s="2"/>
      <c r="M17" s="161"/>
      <c r="N17" s="2"/>
      <c r="O17" s="2"/>
      <c r="P17" s="2"/>
    </row>
    <row r="18" spans="1:17" ht="15.75">
      <c r="A18" s="165" t="s">
        <v>108</v>
      </c>
      <c r="B18" s="226">
        <f>B16+B17</f>
        <v>2.6480795392017586E-2</v>
      </c>
      <c r="G18" s="225"/>
      <c r="H18" s="227"/>
      <c r="L18" s="2"/>
      <c r="M18" s="2"/>
      <c r="N18" s="2"/>
      <c r="O18" s="2"/>
      <c r="P18" s="2"/>
    </row>
    <row r="19" spans="1:17" ht="15.75">
      <c r="C19" s="228"/>
      <c r="D19" s="228"/>
      <c r="E19" s="228"/>
      <c r="F19" s="228"/>
      <c r="G19" s="228"/>
      <c r="H19" s="228"/>
      <c r="I19" s="228"/>
      <c r="K19" s="165"/>
      <c r="L19" s="229" t="s">
        <v>102</v>
      </c>
      <c r="M19" s="230" t="s">
        <v>110</v>
      </c>
      <c r="N19" s="231"/>
      <c r="O19" s="231"/>
      <c r="P19" s="232"/>
    </row>
    <row r="20" spans="1:17" ht="15.75">
      <c r="A20" s="165" t="s">
        <v>102</v>
      </c>
      <c r="B20" s="226">
        <f>D21*E21*F21</f>
        <v>8.2942959499105823E-2</v>
      </c>
      <c r="C20" s="228"/>
      <c r="D20" s="228" t="s">
        <v>111</v>
      </c>
      <c r="E20" s="228" t="s">
        <v>112</v>
      </c>
      <c r="F20" s="228" t="s">
        <v>113</v>
      </c>
      <c r="G20" s="228"/>
      <c r="H20" s="228" t="s">
        <v>114</v>
      </c>
      <c r="I20" s="228" t="s">
        <v>115</v>
      </c>
      <c r="K20" s="141"/>
      <c r="L20" s="233"/>
      <c r="M20" s="234" t="s">
        <v>116</v>
      </c>
      <c r="N20" s="235"/>
      <c r="O20" s="235"/>
      <c r="P20" s="236"/>
      <c r="Q20" s="141"/>
    </row>
    <row r="21" spans="1:17" ht="15.75">
      <c r="C21" s="228"/>
      <c r="D21" s="228">
        <f>(B2-B3)/B2</f>
        <v>0.77240637917442279</v>
      </c>
      <c r="E21" s="228">
        <f>1/((B6/B5))</f>
        <v>7.4477603886992618</v>
      </c>
      <c r="F21" s="357">
        <f>B2/B5</f>
        <v>1.4418098214904279E-2</v>
      </c>
      <c r="G21" s="228"/>
      <c r="H21" s="228">
        <f>B24/100</f>
        <v>8.5000000000000006E-2</v>
      </c>
      <c r="I21" s="228">
        <f>(B24/100)/B20</f>
        <v>1.0248006643760565</v>
      </c>
      <c r="L21" s="237"/>
      <c r="M21" s="238" t="s">
        <v>117</v>
      </c>
      <c r="N21" s="239"/>
      <c r="O21" s="240"/>
      <c r="P21" s="241"/>
    </row>
    <row r="22" spans="1:17">
      <c r="C22" s="228"/>
      <c r="D22" s="228"/>
      <c r="E22" s="228"/>
      <c r="F22" s="228"/>
      <c r="G22" s="228"/>
      <c r="H22" s="228"/>
      <c r="I22" s="228"/>
    </row>
    <row r="24" spans="1:17">
      <c r="A24" s="165" t="s">
        <v>118</v>
      </c>
      <c r="B24">
        <v>8.5</v>
      </c>
      <c r="D24" t="s">
        <v>119</v>
      </c>
      <c r="E24">
        <f>I21*B2-B2+B3</f>
        <v>66.981731609524417</v>
      </c>
    </row>
    <row r="27" spans="1:17">
      <c r="K27" s="141"/>
      <c r="L27" s="141"/>
      <c r="M27" s="141"/>
      <c r="N27" s="141"/>
      <c r="O27" s="141"/>
      <c r="P27" s="141"/>
      <c r="Q27" s="141"/>
    </row>
  </sheetData>
  <mergeCells count="1">
    <mergeCell ref="G14:G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D1"/>
    </sheetView>
  </sheetViews>
  <sheetFormatPr defaultRowHeight="15"/>
  <cols>
    <col min="1" max="1" width="35.7109375" style="147" bestFit="1" customWidth="1"/>
    <col min="2" max="2" width="10.7109375" style="147" customWidth="1"/>
    <col min="3" max="3" width="11.5703125" style="147" customWidth="1"/>
    <col min="4" max="4" width="17.42578125" style="147" bestFit="1" customWidth="1"/>
    <col min="5" max="5" width="6.85546875" style="147" bestFit="1" customWidth="1"/>
    <col min="6" max="16384" width="9.140625" style="147"/>
  </cols>
  <sheetData>
    <row r="1" spans="1:5" ht="46.5" customHeight="1" thickBot="1">
      <c r="A1" s="603" t="s">
        <v>167</v>
      </c>
      <c r="B1" s="603"/>
      <c r="C1" s="603"/>
      <c r="D1" s="603"/>
    </row>
    <row r="2" spans="1:5" ht="15.75" thickBot="1">
      <c r="A2" s="292" t="s">
        <v>168</v>
      </c>
      <c r="B2" s="293" t="s">
        <v>137</v>
      </c>
      <c r="C2" s="294" t="s">
        <v>138</v>
      </c>
      <c r="D2" s="295" t="s">
        <v>139</v>
      </c>
      <c r="E2" s="296" t="s">
        <v>140</v>
      </c>
    </row>
    <row r="3" spans="1:5">
      <c r="A3" s="297" t="s">
        <v>141</v>
      </c>
      <c r="B3" s="298">
        <v>41252</v>
      </c>
      <c r="C3" s="299">
        <v>27623</v>
      </c>
      <c r="D3" s="299">
        <v>27232</v>
      </c>
      <c r="E3" s="300">
        <v>44892</v>
      </c>
    </row>
    <row r="4" spans="1:5" ht="15.75" thickBot="1">
      <c r="A4" s="301" t="s">
        <v>142</v>
      </c>
      <c r="B4" s="302">
        <v>13174</v>
      </c>
      <c r="C4" s="303">
        <v>8589</v>
      </c>
      <c r="D4" s="303">
        <v>7321</v>
      </c>
      <c r="E4" s="304">
        <v>13399</v>
      </c>
    </row>
    <row r="5" spans="1:5" ht="15.75" thickBot="1">
      <c r="A5" s="305" t="s">
        <v>143</v>
      </c>
      <c r="B5" s="306">
        <v>28078</v>
      </c>
      <c r="C5" s="307">
        <v>19034</v>
      </c>
      <c r="D5" s="307">
        <v>19911</v>
      </c>
      <c r="E5" s="308">
        <v>31493</v>
      </c>
    </row>
    <row r="6" spans="1:5" ht="15.75" thickBot="1">
      <c r="A6" s="599"/>
      <c r="B6" s="600"/>
      <c r="C6" s="600"/>
      <c r="D6" s="600"/>
      <c r="E6" s="600"/>
    </row>
    <row r="7" spans="1:5" ht="15.75" thickBot="1">
      <c r="A7" s="305" t="s">
        <v>144</v>
      </c>
      <c r="B7" s="306">
        <v>21636</v>
      </c>
      <c r="C7" s="307">
        <v>15271</v>
      </c>
      <c r="D7" s="307">
        <v>15398</v>
      </c>
      <c r="E7" s="308">
        <v>23941</v>
      </c>
    </row>
    <row r="8" spans="1:5">
      <c r="A8" s="309" t="s">
        <v>145</v>
      </c>
      <c r="B8" s="310">
        <v>20678</v>
      </c>
      <c r="C8" s="311">
        <v>14704</v>
      </c>
      <c r="D8" s="312">
        <v>14726</v>
      </c>
      <c r="E8" s="313">
        <v>23013</v>
      </c>
    </row>
    <row r="9" spans="1:5">
      <c r="A9" s="314" t="s">
        <v>146</v>
      </c>
      <c r="B9" s="315">
        <v>275</v>
      </c>
      <c r="C9" s="316">
        <v>116</v>
      </c>
      <c r="D9" s="316">
        <v>122</v>
      </c>
      <c r="E9" s="317">
        <v>179</v>
      </c>
    </row>
    <row r="10" spans="1:5" ht="15.75" thickBot="1">
      <c r="A10" s="318" t="s">
        <v>147</v>
      </c>
      <c r="B10" s="319">
        <v>683</v>
      </c>
      <c r="C10" s="320">
        <v>451</v>
      </c>
      <c r="D10" s="320">
        <v>550</v>
      </c>
      <c r="E10" s="321">
        <v>749</v>
      </c>
    </row>
    <row r="11" spans="1:5" ht="15.75" thickBot="1">
      <c r="A11" s="604"/>
      <c r="B11" s="605"/>
      <c r="C11" s="605"/>
      <c r="D11" s="605"/>
      <c r="E11" s="605"/>
    </row>
    <row r="12" spans="1:5" ht="15.75" thickBot="1">
      <c r="A12" s="305" t="s">
        <v>148</v>
      </c>
      <c r="B12" s="306">
        <v>5800</v>
      </c>
      <c r="C12" s="307">
        <v>3385</v>
      </c>
      <c r="D12" s="307">
        <v>3997</v>
      </c>
      <c r="E12" s="308">
        <v>6748</v>
      </c>
    </row>
    <row r="13" spans="1:5">
      <c r="A13" s="309" t="s">
        <v>149</v>
      </c>
      <c r="B13" s="322">
        <v>4684</v>
      </c>
      <c r="C13" s="323">
        <v>2872</v>
      </c>
      <c r="D13" s="324">
        <v>3382</v>
      </c>
      <c r="E13" s="325">
        <v>5731</v>
      </c>
    </row>
    <row r="14" spans="1:5">
      <c r="A14" s="314" t="s">
        <v>150</v>
      </c>
      <c r="B14" s="315">
        <v>10</v>
      </c>
      <c r="C14" s="316">
        <v>2</v>
      </c>
      <c r="D14" s="316">
        <v>3</v>
      </c>
      <c r="E14" s="317">
        <v>9</v>
      </c>
    </row>
    <row r="15" spans="1:5">
      <c r="A15" s="314" t="s">
        <v>151</v>
      </c>
      <c r="B15" s="315">
        <v>16</v>
      </c>
      <c r="C15" s="316">
        <v>10</v>
      </c>
      <c r="D15" s="316">
        <v>10</v>
      </c>
      <c r="E15" s="317">
        <v>21</v>
      </c>
    </row>
    <row r="16" spans="1:5">
      <c r="A16" s="326" t="s">
        <v>152</v>
      </c>
      <c r="B16" s="327">
        <v>483</v>
      </c>
      <c r="C16" s="328">
        <v>203</v>
      </c>
      <c r="D16" s="329">
        <v>189</v>
      </c>
      <c r="E16" s="330">
        <v>381</v>
      </c>
    </row>
    <row r="17" spans="1:5">
      <c r="A17" s="314" t="s">
        <v>153</v>
      </c>
      <c r="B17" s="327">
        <v>575</v>
      </c>
      <c r="C17" s="328">
        <v>292</v>
      </c>
      <c r="D17" s="329">
        <v>401</v>
      </c>
      <c r="E17" s="330">
        <v>581</v>
      </c>
    </row>
    <row r="18" spans="1:5" ht="15.75" thickBot="1">
      <c r="A18" s="318" t="s">
        <v>154</v>
      </c>
      <c r="B18" s="319">
        <v>32</v>
      </c>
      <c r="C18" s="320">
        <v>6</v>
      </c>
      <c r="D18" s="320">
        <v>12</v>
      </c>
      <c r="E18" s="321">
        <v>25</v>
      </c>
    </row>
    <row r="19" spans="1:5" ht="15.75" thickBot="1">
      <c r="A19" s="599"/>
      <c r="B19" s="600"/>
      <c r="C19" s="600"/>
      <c r="D19" s="600"/>
      <c r="E19" s="600"/>
    </row>
    <row r="20" spans="1:5" ht="15.75" thickBot="1">
      <c r="A20" s="305" t="s">
        <v>155</v>
      </c>
      <c r="B20" s="306">
        <v>545</v>
      </c>
      <c r="C20" s="307">
        <v>337</v>
      </c>
      <c r="D20" s="307">
        <v>436</v>
      </c>
      <c r="E20" s="308">
        <v>691</v>
      </c>
    </row>
    <row r="21" spans="1:5" ht="15.75" thickBot="1">
      <c r="A21" s="331" t="s">
        <v>156</v>
      </c>
      <c r="B21" s="332">
        <v>97</v>
      </c>
      <c r="C21" s="333">
        <v>41</v>
      </c>
      <c r="D21" s="333">
        <v>80</v>
      </c>
      <c r="E21" s="334">
        <v>113</v>
      </c>
    </row>
    <row r="23" spans="1:5" ht="45">
      <c r="A23" s="335" t="s">
        <v>157</v>
      </c>
      <c r="B23" s="336" t="str">
        <f>D2</f>
        <v>Ringkøbing-Skjern</v>
      </c>
      <c r="C23" s="336" t="s">
        <v>158</v>
      </c>
      <c r="D23" s="291" t="s">
        <v>17</v>
      </c>
    </row>
    <row r="24" spans="1:5">
      <c r="A24" s="273" t="s">
        <v>159</v>
      </c>
      <c r="B24" s="337">
        <v>0.5</v>
      </c>
      <c r="C24" s="337">
        <v>0.35</v>
      </c>
      <c r="D24" s="338"/>
    </row>
    <row r="25" spans="1:5">
      <c r="A25" s="1" t="s">
        <v>160</v>
      </c>
      <c r="B25" s="339">
        <f>(D17+D16+D8)*B24</f>
        <v>7658</v>
      </c>
      <c r="C25" s="340">
        <f>(B17+B16+C16+C17+E17+E16+E8+C8+B8)*C24</f>
        <v>21318.5</v>
      </c>
      <c r="D25" s="341"/>
    </row>
    <row r="26" spans="1:5">
      <c r="A26" s="1" t="s">
        <v>161</v>
      </c>
      <c r="B26" s="1">
        <f>B25</f>
        <v>7658</v>
      </c>
      <c r="C26" s="4">
        <f>C25</f>
        <v>21318.5</v>
      </c>
      <c r="D26" s="4">
        <f>B26+C26</f>
        <v>28976.5</v>
      </c>
    </row>
    <row r="27" spans="1:5">
      <c r="A27" s="273" t="s">
        <v>162</v>
      </c>
      <c r="B27" s="342">
        <f>B24</f>
        <v>0.5</v>
      </c>
      <c r="C27" s="342">
        <f>C24</f>
        <v>0.35</v>
      </c>
      <c r="D27" s="338"/>
    </row>
    <row r="28" spans="1:5">
      <c r="A28" s="1" t="s">
        <v>163</v>
      </c>
      <c r="B28" s="343">
        <f>D13*B27</f>
        <v>1691</v>
      </c>
      <c r="C28" s="344">
        <f>(B13+C13+E13)*C27</f>
        <v>4650.45</v>
      </c>
      <c r="D28" s="341"/>
    </row>
    <row r="29" spans="1:5">
      <c r="A29" s="1" t="s">
        <v>164</v>
      </c>
      <c r="B29" s="1">
        <f>B28*2</f>
        <v>3382</v>
      </c>
      <c r="C29" s="4">
        <f>C28*2</f>
        <v>9300.9</v>
      </c>
      <c r="D29" s="4">
        <f>B29+C29</f>
        <v>12682.9</v>
      </c>
    </row>
    <row r="30" spans="1:5">
      <c r="A30" s="273" t="s">
        <v>165</v>
      </c>
      <c r="B30" s="601" t="s">
        <v>166</v>
      </c>
      <c r="C30" s="602"/>
      <c r="D30" s="3">
        <f>D26+D29</f>
        <v>41659.4</v>
      </c>
    </row>
  </sheetData>
  <mergeCells count="5">
    <mergeCell ref="A19:E19"/>
    <mergeCell ref="B30:C30"/>
    <mergeCell ref="A1:D1"/>
    <mergeCell ref="A6:E6"/>
    <mergeCell ref="A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60"/>
  <sheetViews>
    <sheetView workbookViewId="0">
      <selection sqref="A1:D2"/>
    </sheetView>
  </sheetViews>
  <sheetFormatPr defaultRowHeight="15"/>
  <cols>
    <col min="1" max="1" width="3.85546875" bestFit="1" customWidth="1"/>
    <col min="2" max="2" width="49.5703125" bestFit="1" customWidth="1"/>
    <col min="3" max="4" width="10.42578125" bestFit="1" customWidth="1"/>
    <col min="5" max="5" width="4.140625" bestFit="1" customWidth="1"/>
    <col min="6" max="6" width="3.28515625" bestFit="1" customWidth="1"/>
    <col min="7" max="7" width="3.5703125" customWidth="1"/>
    <col min="8" max="8" width="4.140625" bestFit="1" customWidth="1"/>
    <col min="9" max="9" width="4.140625" customWidth="1"/>
    <col min="10" max="10" width="3.28515625" bestFit="1" customWidth="1"/>
    <col min="11" max="12" width="4.28515625" customWidth="1"/>
    <col min="13" max="13" width="3.28515625" bestFit="1" customWidth="1"/>
    <col min="14" max="14" width="4.7109375" customWidth="1"/>
    <col min="16" max="16" width="35.85546875" bestFit="1" customWidth="1"/>
    <col min="17" max="17" width="7" style="445" customWidth="1"/>
    <col min="18" max="18" width="5.7109375" customWidth="1"/>
    <col min="19" max="19" width="4.42578125" customWidth="1"/>
    <col min="20" max="20" width="5.85546875" customWidth="1"/>
    <col min="21" max="21" width="15.42578125" bestFit="1" customWidth="1"/>
    <col min="22" max="22" width="6.28515625" customWidth="1"/>
    <col min="23" max="23" width="5.85546875" customWidth="1"/>
    <col min="24" max="24" width="6.5703125" customWidth="1"/>
    <col min="25" max="25" width="5.5703125" customWidth="1"/>
    <col min="26" max="26" width="5.85546875" customWidth="1"/>
    <col min="27" max="27" width="6.42578125" customWidth="1"/>
  </cols>
  <sheetData>
    <row r="1" spans="1:29" ht="23.25" customHeight="1" thickBot="1">
      <c r="A1" s="625" t="s">
        <v>192</v>
      </c>
      <c r="B1" s="626"/>
      <c r="C1" s="626"/>
      <c r="D1" s="627"/>
      <c r="E1" s="631" t="s">
        <v>193</v>
      </c>
      <c r="F1" s="632"/>
      <c r="G1" s="632"/>
      <c r="H1" s="632"/>
      <c r="I1" s="632"/>
      <c r="J1" s="632"/>
      <c r="K1" s="632"/>
      <c r="L1" s="632"/>
      <c r="M1" s="632"/>
      <c r="N1" s="633"/>
    </row>
    <row r="2" spans="1:29" ht="21.75" customHeight="1" thickBot="1">
      <c r="A2" s="628"/>
      <c r="B2" s="629"/>
      <c r="C2" s="629"/>
      <c r="D2" s="630"/>
      <c r="E2" s="634" t="s">
        <v>194</v>
      </c>
      <c r="F2" s="616" t="s">
        <v>195</v>
      </c>
      <c r="G2" s="616" t="s">
        <v>196</v>
      </c>
      <c r="H2" s="616" t="s">
        <v>197</v>
      </c>
      <c r="I2" s="616" t="s">
        <v>198</v>
      </c>
      <c r="J2" s="616" t="s">
        <v>199</v>
      </c>
      <c r="K2" s="616" t="s">
        <v>200</v>
      </c>
      <c r="L2" s="692" t="s">
        <v>201</v>
      </c>
      <c r="M2" s="616" t="s">
        <v>202</v>
      </c>
      <c r="N2" s="618" t="s">
        <v>203</v>
      </c>
      <c r="P2" s="661" t="s">
        <v>276</v>
      </c>
      <c r="Q2" s="672" t="s">
        <v>280</v>
      </c>
      <c r="R2" s="672" t="s">
        <v>279</v>
      </c>
      <c r="S2" s="678" t="s">
        <v>196</v>
      </c>
      <c r="T2" s="678" t="s">
        <v>281</v>
      </c>
      <c r="U2" s="678" t="s">
        <v>282</v>
      </c>
      <c r="V2" s="678" t="s">
        <v>283</v>
      </c>
      <c r="W2" s="678" t="s">
        <v>284</v>
      </c>
      <c r="X2" s="678" t="s">
        <v>286</v>
      </c>
      <c r="Y2" s="672" t="s">
        <v>287</v>
      </c>
      <c r="Z2" s="672" t="s">
        <v>288</v>
      </c>
      <c r="AA2" s="675" t="s">
        <v>17</v>
      </c>
    </row>
    <row r="3" spans="1:29" ht="16.5" thickBot="1">
      <c r="A3" s="690" t="s">
        <v>204</v>
      </c>
      <c r="B3" s="691"/>
      <c r="C3" s="620" t="s">
        <v>205</v>
      </c>
      <c r="D3" s="621"/>
      <c r="E3" s="634"/>
      <c r="F3" s="616"/>
      <c r="G3" s="616"/>
      <c r="H3" s="616"/>
      <c r="I3" s="616"/>
      <c r="J3" s="616"/>
      <c r="K3" s="616"/>
      <c r="L3" s="692"/>
      <c r="M3" s="616"/>
      <c r="N3" s="618"/>
      <c r="P3" s="662"/>
      <c r="Q3" s="673"/>
      <c r="R3" s="673"/>
      <c r="S3" s="679"/>
      <c r="T3" s="679"/>
      <c r="U3" s="679"/>
      <c r="V3" s="679"/>
      <c r="W3" s="679"/>
      <c r="X3" s="679"/>
      <c r="Y3" s="673"/>
      <c r="Z3" s="673"/>
      <c r="AA3" s="676"/>
    </row>
    <row r="4" spans="1:29" ht="16.5" thickBot="1">
      <c r="A4" s="461" t="s">
        <v>206</v>
      </c>
      <c r="B4" s="462" t="s">
        <v>207</v>
      </c>
      <c r="C4" s="463" t="s">
        <v>208</v>
      </c>
      <c r="D4" s="464" t="s">
        <v>209</v>
      </c>
      <c r="E4" s="634"/>
      <c r="F4" s="616"/>
      <c r="G4" s="616"/>
      <c r="H4" s="616"/>
      <c r="I4" s="616"/>
      <c r="J4" s="616"/>
      <c r="K4" s="616"/>
      <c r="L4" s="692"/>
      <c r="M4" s="616"/>
      <c r="N4" s="618"/>
      <c r="P4" s="662"/>
      <c r="Q4" s="673"/>
      <c r="R4" s="673"/>
      <c r="S4" s="679"/>
      <c r="T4" s="679"/>
      <c r="U4" s="679"/>
      <c r="V4" s="679"/>
      <c r="W4" s="679"/>
      <c r="X4" s="679"/>
      <c r="Y4" s="673"/>
      <c r="Z4" s="673"/>
      <c r="AA4" s="676"/>
    </row>
    <row r="5" spans="1:29" ht="15" customHeight="1">
      <c r="A5" s="472"/>
      <c r="B5" s="473" t="s">
        <v>210</v>
      </c>
      <c r="C5" s="474">
        <v>40575</v>
      </c>
      <c r="D5" s="475">
        <v>40787</v>
      </c>
      <c r="E5" s="635"/>
      <c r="F5" s="617"/>
      <c r="G5" s="617"/>
      <c r="H5" s="617"/>
      <c r="I5" s="617"/>
      <c r="J5" s="617"/>
      <c r="K5" s="617"/>
      <c r="L5" s="693"/>
      <c r="M5" s="617"/>
      <c r="N5" s="619"/>
      <c r="P5" s="662"/>
      <c r="Q5" s="674"/>
      <c r="R5" s="674"/>
      <c r="S5" s="679"/>
      <c r="T5" s="679"/>
      <c r="U5" s="679"/>
      <c r="V5" s="679"/>
      <c r="W5" s="679"/>
      <c r="X5" s="679"/>
      <c r="Y5" s="674"/>
      <c r="Z5" s="674"/>
      <c r="AA5" s="676"/>
    </row>
    <row r="6" spans="1:29">
      <c r="A6" s="622"/>
      <c r="B6" s="623"/>
      <c r="C6" s="623"/>
      <c r="D6" s="624"/>
      <c r="E6" s="383"/>
      <c r="F6" s="384"/>
      <c r="G6" s="384"/>
      <c r="H6" s="384"/>
      <c r="I6" s="384"/>
      <c r="J6" s="384"/>
      <c r="K6" s="384"/>
      <c r="L6" s="384"/>
      <c r="M6" s="384"/>
      <c r="N6" s="385"/>
      <c r="P6" s="452" t="s">
        <v>297</v>
      </c>
      <c r="Q6" s="442">
        <v>320</v>
      </c>
      <c r="R6" s="160">
        <v>16</v>
      </c>
      <c r="S6" s="447"/>
      <c r="T6" s="448"/>
      <c r="U6" s="447"/>
      <c r="V6" s="447"/>
      <c r="W6" s="447"/>
      <c r="X6" s="447" t="s">
        <v>285</v>
      </c>
      <c r="Y6" s="447"/>
      <c r="Z6" s="447"/>
      <c r="AA6" s="453">
        <f>Q6+R6</f>
        <v>336</v>
      </c>
      <c r="AC6" t="s">
        <v>290</v>
      </c>
    </row>
    <row r="7" spans="1:29">
      <c r="A7" s="386">
        <v>1</v>
      </c>
      <c r="B7" s="387" t="s">
        <v>211</v>
      </c>
      <c r="C7" s="388">
        <v>40575</v>
      </c>
      <c r="D7" s="389">
        <v>40634</v>
      </c>
      <c r="E7" s="390" t="s">
        <v>212</v>
      </c>
      <c r="F7" s="384" t="s">
        <v>213</v>
      </c>
      <c r="G7" s="384"/>
      <c r="H7" s="384"/>
      <c r="I7" s="384"/>
      <c r="J7" s="384"/>
      <c r="K7" s="384"/>
      <c r="L7" s="384"/>
      <c r="M7" s="384"/>
      <c r="N7" s="385"/>
      <c r="P7" s="452" t="s">
        <v>298</v>
      </c>
      <c r="Q7" s="443" t="s">
        <v>270</v>
      </c>
      <c r="R7" s="448"/>
      <c r="S7" s="449"/>
      <c r="T7" s="448"/>
      <c r="U7" s="449"/>
      <c r="V7" s="449"/>
      <c r="W7" s="449"/>
      <c r="X7" s="449"/>
      <c r="Y7" s="449"/>
      <c r="Z7" s="449"/>
      <c r="AA7" s="454" t="str">
        <f>Q7</f>
        <v>160</v>
      </c>
      <c r="AC7" t="s">
        <v>289</v>
      </c>
    </row>
    <row r="8" spans="1:29">
      <c r="A8" s="391">
        <v>2</v>
      </c>
      <c r="B8" s="392" t="s">
        <v>214</v>
      </c>
      <c r="C8" s="393">
        <v>40634</v>
      </c>
      <c r="D8" s="394">
        <v>40662</v>
      </c>
      <c r="E8" s="395" t="s">
        <v>215</v>
      </c>
      <c r="F8" s="384" t="s">
        <v>213</v>
      </c>
      <c r="G8" s="384" t="s">
        <v>101</v>
      </c>
      <c r="H8" s="384"/>
      <c r="I8" s="384"/>
      <c r="J8" s="384"/>
      <c r="K8" s="384"/>
      <c r="L8" s="384"/>
      <c r="M8" s="384"/>
      <c r="N8" s="385"/>
      <c r="P8" s="452" t="s">
        <v>302</v>
      </c>
      <c r="Q8" s="442"/>
      <c r="R8" s="442">
        <v>32</v>
      </c>
      <c r="S8" s="447"/>
      <c r="T8" s="443"/>
      <c r="U8" s="447"/>
      <c r="V8" s="447"/>
      <c r="W8" s="447"/>
      <c r="X8" s="447"/>
      <c r="Y8" s="447"/>
      <c r="Z8" s="447"/>
      <c r="AA8" s="453">
        <f>Q8+R8</f>
        <v>32</v>
      </c>
      <c r="AC8" t="s">
        <v>291</v>
      </c>
    </row>
    <row r="9" spans="1:29">
      <c r="A9" s="396">
        <v>3</v>
      </c>
      <c r="B9" s="392" t="s">
        <v>216</v>
      </c>
      <c r="C9" s="393">
        <v>40662</v>
      </c>
      <c r="D9" s="394"/>
      <c r="E9" s="395"/>
      <c r="F9" s="384" t="s">
        <v>217</v>
      </c>
      <c r="G9" s="384" t="s">
        <v>218</v>
      </c>
      <c r="H9" s="384"/>
      <c r="I9" s="384"/>
      <c r="J9" s="384"/>
      <c r="K9" s="384"/>
      <c r="L9" s="384"/>
      <c r="M9" s="384"/>
      <c r="N9" s="385"/>
      <c r="P9" s="452" t="s">
        <v>301</v>
      </c>
      <c r="Q9" s="442" t="s">
        <v>271</v>
      </c>
      <c r="R9" s="160"/>
      <c r="S9" s="160">
        <v>450</v>
      </c>
      <c r="T9" s="160">
        <v>128</v>
      </c>
      <c r="U9" s="160">
        <v>1508</v>
      </c>
      <c r="V9" s="160">
        <v>512</v>
      </c>
      <c r="W9" s="160">
        <v>450</v>
      </c>
      <c r="X9" s="160">
        <v>2220</v>
      </c>
      <c r="Y9" s="160">
        <v>320</v>
      </c>
      <c r="Z9" s="160">
        <v>1280</v>
      </c>
      <c r="AA9" s="455">
        <f>Z9+Y9+X9+W9+V9+U9+T9+S9+R9+Q9</f>
        <v>7508</v>
      </c>
      <c r="AC9" t="s">
        <v>292</v>
      </c>
    </row>
    <row r="10" spans="1:29">
      <c r="A10" s="397">
        <v>4</v>
      </c>
      <c r="B10" s="398" t="s">
        <v>219</v>
      </c>
      <c r="C10" s="399">
        <v>40663</v>
      </c>
      <c r="D10" s="400">
        <v>40785</v>
      </c>
      <c r="E10" s="395" t="s">
        <v>213</v>
      </c>
      <c r="F10" s="384" t="s">
        <v>218</v>
      </c>
      <c r="G10" s="384"/>
      <c r="H10" s="384" t="s">
        <v>212</v>
      </c>
      <c r="I10" s="384" t="s">
        <v>212</v>
      </c>
      <c r="J10" s="384" t="s">
        <v>212</v>
      </c>
      <c r="K10" s="384" t="s">
        <v>212</v>
      </c>
      <c r="L10" s="384" t="s">
        <v>212</v>
      </c>
      <c r="M10" s="384" t="s">
        <v>212</v>
      </c>
      <c r="N10" s="385" t="s">
        <v>212</v>
      </c>
      <c r="P10" s="452" t="s">
        <v>299</v>
      </c>
      <c r="Q10" s="443"/>
      <c r="R10" s="448"/>
      <c r="S10" s="447"/>
      <c r="T10" s="448"/>
      <c r="U10" s="447"/>
      <c r="V10" s="447"/>
      <c r="W10" s="447"/>
      <c r="X10" s="447"/>
      <c r="Y10" s="447"/>
      <c r="Z10" s="447"/>
      <c r="AA10" s="456"/>
      <c r="AC10" t="s">
        <v>293</v>
      </c>
    </row>
    <row r="11" spans="1:29">
      <c r="A11" s="401">
        <v>5</v>
      </c>
      <c r="B11" s="402" t="s">
        <v>220</v>
      </c>
      <c r="C11" s="403">
        <v>40787</v>
      </c>
      <c r="D11" s="404"/>
      <c r="E11" s="383"/>
      <c r="F11" s="405"/>
      <c r="G11" s="405"/>
      <c r="H11" s="405"/>
      <c r="I11" s="405"/>
      <c r="J11" s="405"/>
      <c r="K11" s="405"/>
      <c r="L11" s="405"/>
      <c r="M11" s="384"/>
      <c r="N11" s="385"/>
      <c r="P11" s="452" t="s">
        <v>300</v>
      </c>
      <c r="Q11" s="443" t="s">
        <v>272</v>
      </c>
      <c r="R11" s="448"/>
      <c r="S11" s="100"/>
      <c r="T11" s="448"/>
      <c r="U11" s="100"/>
      <c r="V11" s="100"/>
      <c r="W11" s="100"/>
      <c r="X11" s="100"/>
      <c r="Y11" s="100"/>
      <c r="Z11" s="100"/>
      <c r="AA11" s="454" t="str">
        <f>Q11</f>
        <v>37</v>
      </c>
      <c r="AC11" t="s">
        <v>294</v>
      </c>
    </row>
    <row r="12" spans="1:29" ht="15.75" thickBot="1">
      <c r="A12" s="465">
        <v>6</v>
      </c>
      <c r="B12" s="466" t="s">
        <v>221</v>
      </c>
      <c r="C12" s="413">
        <v>40878</v>
      </c>
      <c r="D12" s="414"/>
      <c r="E12" s="415" t="s">
        <v>215</v>
      </c>
      <c r="F12" s="338" t="s">
        <v>218</v>
      </c>
      <c r="G12" s="338" t="s">
        <v>101</v>
      </c>
      <c r="H12" s="338" t="s">
        <v>101</v>
      </c>
      <c r="I12" s="338" t="s">
        <v>101</v>
      </c>
      <c r="J12" s="338"/>
      <c r="K12" s="338"/>
      <c r="L12" s="338"/>
      <c r="M12" s="338"/>
      <c r="N12" s="467"/>
      <c r="P12" s="457" t="s">
        <v>273</v>
      </c>
      <c r="Q12" s="458">
        <f>Q6+Q7+Q8+Q9+Q11</f>
        <v>1157</v>
      </c>
      <c r="R12" s="459">
        <f>R6+R8</f>
        <v>48</v>
      </c>
      <c r="S12" s="459">
        <f>S9</f>
        <v>450</v>
      </c>
      <c r="T12" s="459">
        <f>T9</f>
        <v>128</v>
      </c>
      <c r="U12" s="459">
        <f t="shared" ref="U12:Z12" si="0">U9</f>
        <v>1508</v>
      </c>
      <c r="V12" s="459">
        <f t="shared" si="0"/>
        <v>512</v>
      </c>
      <c r="W12" s="459">
        <f t="shared" si="0"/>
        <v>450</v>
      </c>
      <c r="X12" s="458">
        <f t="shared" si="0"/>
        <v>2220</v>
      </c>
      <c r="Y12" s="459">
        <f t="shared" si="0"/>
        <v>320</v>
      </c>
      <c r="Z12" s="459">
        <f t="shared" si="0"/>
        <v>1280</v>
      </c>
      <c r="AA12" s="460">
        <f>AA6+AA7+AA8+AA9+AA11+AA10</f>
        <v>8073</v>
      </c>
      <c r="AC12" t="s">
        <v>295</v>
      </c>
    </row>
    <row r="13" spans="1:29" ht="7.5" customHeight="1" thickBot="1">
      <c r="A13" s="680"/>
      <c r="B13" s="681"/>
      <c r="C13" s="681"/>
      <c r="D13" s="681"/>
      <c r="E13" s="681"/>
      <c r="F13" s="681"/>
      <c r="G13" s="681"/>
      <c r="H13" s="681"/>
      <c r="I13" s="681"/>
      <c r="J13" s="681"/>
      <c r="K13" s="681"/>
      <c r="L13" s="681"/>
      <c r="M13" s="681"/>
      <c r="N13" s="682"/>
      <c r="Q13" s="446"/>
      <c r="Z13" s="41"/>
      <c r="AA13" s="444"/>
      <c r="AC13" t="s">
        <v>296</v>
      </c>
    </row>
    <row r="14" spans="1:29">
      <c r="A14" s="468"/>
      <c r="B14" s="469" t="s">
        <v>222</v>
      </c>
      <c r="C14" s="470">
        <f>C10</f>
        <v>40663</v>
      </c>
      <c r="D14" s="471">
        <f>D10</f>
        <v>40785</v>
      </c>
      <c r="E14" s="684"/>
      <c r="F14" s="685"/>
      <c r="G14" s="685"/>
      <c r="H14" s="685"/>
      <c r="I14" s="685"/>
      <c r="J14" s="685"/>
      <c r="K14" s="685"/>
      <c r="L14" s="685"/>
      <c r="M14" s="685"/>
      <c r="N14" s="686"/>
      <c r="P14" s="683" t="s">
        <v>274</v>
      </c>
      <c r="Q14" s="577" t="s">
        <v>275</v>
      </c>
      <c r="R14" s="677" t="s">
        <v>277</v>
      </c>
      <c r="S14" s="677"/>
      <c r="T14" s="677"/>
      <c r="U14" s="162" t="s">
        <v>278</v>
      </c>
      <c r="AA14" s="444"/>
    </row>
    <row r="15" spans="1:29">
      <c r="A15" s="407"/>
      <c r="B15" s="408" t="s">
        <v>223</v>
      </c>
      <c r="C15" s="606"/>
      <c r="D15" s="607"/>
      <c r="E15" s="687"/>
      <c r="F15" s="688"/>
      <c r="G15" s="688"/>
      <c r="H15" s="688"/>
      <c r="I15" s="688"/>
      <c r="J15" s="688"/>
      <c r="K15" s="688"/>
      <c r="L15" s="688"/>
      <c r="M15" s="688"/>
      <c r="N15" s="689"/>
      <c r="P15" s="683"/>
      <c r="Q15" s="451">
        <f>AA12</f>
        <v>8073</v>
      </c>
      <c r="R15" s="666">
        <v>800</v>
      </c>
      <c r="S15" s="666"/>
      <c r="T15" s="666"/>
      <c r="U15" s="451">
        <f>Q15*R15</f>
        <v>6458400</v>
      </c>
      <c r="V15" s="450"/>
      <c r="AA15" s="444"/>
    </row>
    <row r="16" spans="1:29">
      <c r="A16" s="409">
        <v>1</v>
      </c>
      <c r="B16" s="410" t="s">
        <v>224</v>
      </c>
      <c r="C16" s="403">
        <v>40303</v>
      </c>
      <c r="D16" s="404"/>
      <c r="E16" s="383" t="s">
        <v>212</v>
      </c>
      <c r="F16" s="405" t="s">
        <v>212</v>
      </c>
      <c r="G16" s="405"/>
      <c r="H16" s="405" t="s">
        <v>218</v>
      </c>
      <c r="I16" s="405"/>
      <c r="J16" s="405"/>
      <c r="K16" s="405"/>
      <c r="L16" s="405"/>
      <c r="M16" s="405"/>
      <c r="N16" s="406"/>
    </row>
    <row r="17" spans="1:14">
      <c r="A17" s="411">
        <v>2</v>
      </c>
      <c r="B17" s="412" t="s">
        <v>225</v>
      </c>
      <c r="C17" s="413">
        <v>40304</v>
      </c>
      <c r="D17" s="414"/>
      <c r="E17" s="415"/>
      <c r="F17" s="405"/>
      <c r="G17" s="405"/>
      <c r="H17" s="405" t="s">
        <v>212</v>
      </c>
      <c r="I17" s="405" t="s">
        <v>218</v>
      </c>
      <c r="J17" s="405"/>
      <c r="K17" s="405"/>
      <c r="L17" s="405"/>
      <c r="M17" s="405"/>
      <c r="N17" s="406"/>
    </row>
    <row r="18" spans="1:14">
      <c r="A18" s="416"/>
      <c r="B18" s="408" t="s">
        <v>226</v>
      </c>
      <c r="C18" s="606"/>
      <c r="D18" s="607"/>
      <c r="E18" s="608"/>
      <c r="F18" s="609"/>
      <c r="G18" s="609"/>
      <c r="H18" s="609"/>
      <c r="I18" s="609"/>
      <c r="J18" s="609"/>
      <c r="K18" s="609"/>
      <c r="L18" s="609"/>
      <c r="M18" s="609"/>
      <c r="N18" s="610"/>
    </row>
    <row r="19" spans="1:14">
      <c r="A19" s="417">
        <v>1</v>
      </c>
      <c r="B19" s="418" t="s">
        <v>227</v>
      </c>
      <c r="C19" s="419">
        <v>40663</v>
      </c>
      <c r="D19" s="420">
        <v>40674</v>
      </c>
      <c r="E19" s="395" t="s">
        <v>228</v>
      </c>
      <c r="F19" s="384" t="s">
        <v>217</v>
      </c>
      <c r="G19" s="384"/>
      <c r="H19" s="384"/>
      <c r="I19" s="384"/>
      <c r="J19" s="384"/>
      <c r="K19" s="384"/>
      <c r="L19" s="384"/>
      <c r="M19" s="384" t="s">
        <v>212</v>
      </c>
      <c r="N19" s="385"/>
    </row>
    <row r="20" spans="1:14">
      <c r="A20" s="417">
        <v>2</v>
      </c>
      <c r="B20" s="418" t="s">
        <v>229</v>
      </c>
      <c r="C20" s="419">
        <v>40675</v>
      </c>
      <c r="D20" s="420">
        <v>40677</v>
      </c>
      <c r="E20" s="395"/>
      <c r="F20" s="384"/>
      <c r="G20" s="384"/>
      <c r="H20" s="384"/>
      <c r="I20" s="384"/>
      <c r="J20" s="384"/>
      <c r="K20" s="384"/>
      <c r="L20" s="384"/>
      <c r="M20" s="384" t="s">
        <v>212</v>
      </c>
      <c r="N20" s="385"/>
    </row>
    <row r="21" spans="1:14">
      <c r="A21" s="417">
        <v>3</v>
      </c>
      <c r="B21" s="418" t="s">
        <v>230</v>
      </c>
      <c r="C21" s="419">
        <v>40677</v>
      </c>
      <c r="D21" s="404"/>
      <c r="E21" s="383" t="s">
        <v>218</v>
      </c>
      <c r="F21" s="384"/>
      <c r="G21" s="384"/>
      <c r="H21" s="384"/>
      <c r="I21" s="384"/>
      <c r="J21" s="384"/>
      <c r="K21" s="384"/>
      <c r="L21" s="384"/>
      <c r="M21" s="384" t="s">
        <v>212</v>
      </c>
      <c r="N21" s="385"/>
    </row>
    <row r="22" spans="1:14">
      <c r="A22" s="417">
        <v>4</v>
      </c>
      <c r="B22" s="418" t="s">
        <v>231</v>
      </c>
      <c r="C22" s="419">
        <v>40678</v>
      </c>
      <c r="D22" s="420">
        <v>40692</v>
      </c>
      <c r="E22" s="395"/>
      <c r="F22" s="384"/>
      <c r="G22" s="384"/>
      <c r="H22" s="384"/>
      <c r="I22" s="384"/>
      <c r="J22" s="384"/>
      <c r="K22" s="384"/>
      <c r="L22" s="384"/>
      <c r="M22" s="384" t="s">
        <v>232</v>
      </c>
      <c r="N22" s="385"/>
    </row>
    <row r="23" spans="1:14">
      <c r="A23" s="417">
        <v>5</v>
      </c>
      <c r="B23" s="418" t="s">
        <v>233</v>
      </c>
      <c r="C23" s="419">
        <v>40692</v>
      </c>
      <c r="D23" s="420">
        <v>40699</v>
      </c>
      <c r="E23" s="395"/>
      <c r="F23" s="384"/>
      <c r="G23" s="384"/>
      <c r="H23" s="384"/>
      <c r="I23" s="384"/>
      <c r="J23" s="384"/>
      <c r="K23" s="384"/>
      <c r="L23" s="384"/>
      <c r="M23" s="384" t="s">
        <v>212</v>
      </c>
      <c r="N23" s="385"/>
    </row>
    <row r="24" spans="1:14">
      <c r="A24" s="421">
        <v>6</v>
      </c>
      <c r="B24" s="422" t="s">
        <v>234</v>
      </c>
      <c r="C24" s="423">
        <v>40699</v>
      </c>
      <c r="D24" s="424"/>
      <c r="E24" s="425" t="s">
        <v>218</v>
      </c>
      <c r="F24" s="384"/>
      <c r="G24" s="384"/>
      <c r="H24" s="384"/>
      <c r="I24" s="384"/>
      <c r="J24" s="384"/>
      <c r="K24" s="384"/>
      <c r="L24" s="384"/>
      <c r="M24" s="384" t="s">
        <v>217</v>
      </c>
      <c r="N24" s="385"/>
    </row>
    <row r="25" spans="1:14">
      <c r="A25" s="416"/>
      <c r="B25" s="408" t="s">
        <v>235</v>
      </c>
      <c r="C25" s="611"/>
      <c r="D25" s="612"/>
      <c r="E25" s="613"/>
      <c r="F25" s="614"/>
      <c r="G25" s="614"/>
      <c r="H25" s="614"/>
      <c r="I25" s="614"/>
      <c r="J25" s="614"/>
      <c r="K25" s="614"/>
      <c r="L25" s="614"/>
      <c r="M25" s="614"/>
      <c r="N25" s="615"/>
    </row>
    <row r="26" spans="1:14">
      <c r="A26" s="426"/>
      <c r="B26" s="427" t="s">
        <v>236</v>
      </c>
      <c r="C26" s="639"/>
      <c r="D26" s="640"/>
      <c r="E26" s="636"/>
      <c r="F26" s="637"/>
      <c r="G26" s="637"/>
      <c r="H26" s="637"/>
      <c r="I26" s="637"/>
      <c r="J26" s="637"/>
      <c r="K26" s="637"/>
      <c r="L26" s="637"/>
      <c r="M26" s="637"/>
      <c r="N26" s="638"/>
    </row>
    <row r="27" spans="1:14">
      <c r="A27" s="417">
        <v>1</v>
      </c>
      <c r="B27" s="418" t="s">
        <v>237</v>
      </c>
      <c r="C27" s="419">
        <v>40700</v>
      </c>
      <c r="D27" s="420">
        <v>40786</v>
      </c>
      <c r="E27" s="395"/>
      <c r="F27" s="384"/>
      <c r="G27" s="384" t="s">
        <v>101</v>
      </c>
      <c r="H27" s="384"/>
      <c r="I27" s="384"/>
      <c r="J27" s="384"/>
      <c r="K27" s="384" t="s">
        <v>212</v>
      </c>
      <c r="L27" s="384"/>
      <c r="M27" s="384"/>
      <c r="N27" s="385"/>
    </row>
    <row r="28" spans="1:14">
      <c r="A28" s="426"/>
      <c r="B28" s="427" t="s">
        <v>238</v>
      </c>
      <c r="C28" s="639"/>
      <c r="D28" s="640"/>
      <c r="E28" s="641"/>
      <c r="F28" s="642"/>
      <c r="G28" s="642"/>
      <c r="H28" s="642"/>
      <c r="I28" s="642"/>
      <c r="J28" s="642"/>
      <c r="K28" s="642"/>
      <c r="L28" s="642"/>
      <c r="M28" s="642"/>
      <c r="N28" s="643"/>
    </row>
    <row r="29" spans="1:14">
      <c r="A29" s="417">
        <v>1</v>
      </c>
      <c r="B29" s="418" t="s">
        <v>239</v>
      </c>
      <c r="C29" s="419">
        <v>40709</v>
      </c>
      <c r="D29" s="404"/>
      <c r="E29" s="383" t="s">
        <v>218</v>
      </c>
      <c r="F29" s="405"/>
      <c r="G29" s="405"/>
      <c r="H29" s="405" t="s">
        <v>240</v>
      </c>
      <c r="I29" s="405"/>
      <c r="J29" s="405"/>
      <c r="K29" s="405"/>
      <c r="L29" s="405"/>
      <c r="M29" s="405"/>
      <c r="N29" s="406"/>
    </row>
    <row r="30" spans="1:14">
      <c r="A30" s="417">
        <v>2</v>
      </c>
      <c r="B30" s="418" t="s">
        <v>241</v>
      </c>
      <c r="C30" s="419">
        <v>40725</v>
      </c>
      <c r="D30" s="404"/>
      <c r="E30" s="383" t="s">
        <v>213</v>
      </c>
      <c r="F30" s="405"/>
      <c r="G30" s="405"/>
      <c r="H30" s="405"/>
      <c r="I30" s="405"/>
      <c r="J30" s="405" t="s">
        <v>218</v>
      </c>
      <c r="K30" s="405"/>
      <c r="L30" s="405" t="s">
        <v>212</v>
      </c>
      <c r="M30" s="405"/>
      <c r="N30" s="406"/>
    </row>
    <row r="31" spans="1:14">
      <c r="A31" s="417">
        <v>3</v>
      </c>
      <c r="B31" s="418" t="s">
        <v>242</v>
      </c>
      <c r="C31" s="419">
        <v>40758</v>
      </c>
      <c r="D31" s="420">
        <v>40760</v>
      </c>
      <c r="E31" s="395" t="s">
        <v>213</v>
      </c>
      <c r="F31" s="405"/>
      <c r="G31" s="405"/>
      <c r="H31" s="405"/>
      <c r="I31" s="405"/>
      <c r="J31" s="405" t="s">
        <v>218</v>
      </c>
      <c r="K31" s="405"/>
      <c r="L31" s="405" t="s">
        <v>212</v>
      </c>
      <c r="M31" s="405"/>
      <c r="N31" s="406"/>
    </row>
    <row r="32" spans="1:14">
      <c r="A32" s="426"/>
      <c r="B32" s="427" t="s">
        <v>243</v>
      </c>
      <c r="C32" s="644"/>
      <c r="D32" s="645"/>
      <c r="E32" s="646"/>
      <c r="F32" s="647"/>
      <c r="G32" s="647"/>
      <c r="H32" s="647"/>
      <c r="I32" s="647"/>
      <c r="J32" s="647"/>
      <c r="K32" s="647"/>
      <c r="L32" s="647"/>
      <c r="M32" s="647"/>
      <c r="N32" s="648"/>
    </row>
    <row r="33" spans="1:14">
      <c r="A33" s="417">
        <v>1</v>
      </c>
      <c r="B33" s="418" t="s">
        <v>244</v>
      </c>
      <c r="C33" s="419">
        <v>40765</v>
      </c>
      <c r="D33" s="428"/>
      <c r="E33" s="429"/>
      <c r="F33" s="405"/>
      <c r="G33" s="405"/>
      <c r="H33" s="405"/>
      <c r="I33" s="430" t="s">
        <v>218</v>
      </c>
      <c r="J33" s="430" t="s">
        <v>212</v>
      </c>
      <c r="K33" s="405"/>
      <c r="L33" s="405"/>
      <c r="M33" s="405"/>
      <c r="N33" s="406"/>
    </row>
    <row r="34" spans="1:14">
      <c r="A34" s="417">
        <v>2</v>
      </c>
      <c r="B34" s="410" t="s">
        <v>245</v>
      </c>
      <c r="C34" s="403">
        <v>40772</v>
      </c>
      <c r="D34" s="431">
        <v>40786</v>
      </c>
      <c r="E34" s="395"/>
      <c r="F34" s="405"/>
      <c r="G34" s="405"/>
      <c r="H34" s="405" t="s">
        <v>228</v>
      </c>
      <c r="I34" s="405" t="s">
        <v>212</v>
      </c>
      <c r="J34" s="405" t="s">
        <v>101</v>
      </c>
      <c r="K34" s="405"/>
      <c r="L34" s="405"/>
      <c r="M34" s="405"/>
      <c r="N34" s="406"/>
    </row>
    <row r="35" spans="1:14">
      <c r="A35" s="417">
        <v>3</v>
      </c>
      <c r="B35" s="418" t="s">
        <v>246</v>
      </c>
      <c r="C35" s="419">
        <v>40787</v>
      </c>
      <c r="D35" s="404"/>
      <c r="E35" s="383"/>
      <c r="F35" s="405"/>
      <c r="G35" s="405"/>
      <c r="H35" s="405" t="s">
        <v>212</v>
      </c>
      <c r="I35" s="405" t="s">
        <v>218</v>
      </c>
      <c r="J35" s="405" t="s">
        <v>212</v>
      </c>
      <c r="K35" s="405"/>
      <c r="L35" s="405"/>
      <c r="M35" s="405"/>
      <c r="N35" s="406"/>
    </row>
    <row r="36" spans="1:14">
      <c r="A36" s="416"/>
      <c r="B36" s="408" t="s">
        <v>247</v>
      </c>
      <c r="C36" s="668"/>
      <c r="D36" s="669"/>
      <c r="E36" s="608"/>
      <c r="F36" s="609"/>
      <c r="G36" s="609"/>
      <c r="H36" s="609"/>
      <c r="I36" s="609"/>
      <c r="J36" s="609"/>
      <c r="K36" s="609"/>
      <c r="L36" s="609"/>
      <c r="M36" s="609"/>
      <c r="N36" s="610"/>
    </row>
    <row r="37" spans="1:14">
      <c r="A37" s="426"/>
      <c r="B37" s="427" t="s">
        <v>248</v>
      </c>
      <c r="C37" s="663"/>
      <c r="D37" s="664"/>
      <c r="E37" s="665"/>
      <c r="F37" s="666"/>
      <c r="G37" s="666"/>
      <c r="H37" s="666"/>
      <c r="I37" s="666"/>
      <c r="J37" s="666"/>
      <c r="K37" s="666"/>
      <c r="L37" s="666"/>
      <c r="M37" s="666"/>
      <c r="N37" s="667"/>
    </row>
    <row r="38" spans="1:14">
      <c r="A38" s="409">
        <v>1</v>
      </c>
      <c r="B38" s="410" t="s">
        <v>249</v>
      </c>
      <c r="C38" s="432">
        <v>40663</v>
      </c>
      <c r="D38" s="433">
        <v>40668</v>
      </c>
      <c r="E38" s="395" t="s">
        <v>250</v>
      </c>
      <c r="F38" s="405" t="s">
        <v>218</v>
      </c>
      <c r="G38" s="405"/>
      <c r="H38" s="405"/>
      <c r="I38" s="405"/>
      <c r="J38" s="405"/>
      <c r="K38" s="405"/>
      <c r="L38" s="405" t="s">
        <v>212</v>
      </c>
      <c r="M38" s="405"/>
      <c r="N38" s="406"/>
    </row>
    <row r="39" spans="1:14">
      <c r="A39" s="409">
        <v>2</v>
      </c>
      <c r="B39" s="410" t="s">
        <v>251</v>
      </c>
      <c r="C39" s="432">
        <v>40663</v>
      </c>
      <c r="D39" s="433">
        <v>40668</v>
      </c>
      <c r="E39" s="395" t="s">
        <v>250</v>
      </c>
      <c r="F39" s="405"/>
      <c r="G39" s="405"/>
      <c r="H39" s="405" t="s">
        <v>218</v>
      </c>
      <c r="I39" s="405"/>
      <c r="J39" s="405"/>
      <c r="K39" s="405"/>
      <c r="L39" s="405" t="s">
        <v>212</v>
      </c>
      <c r="M39" s="405"/>
      <c r="N39" s="406"/>
    </row>
    <row r="40" spans="1:14">
      <c r="A40" s="409">
        <v>3</v>
      </c>
      <c r="B40" s="410" t="s">
        <v>252</v>
      </c>
      <c r="C40" s="432">
        <v>40663</v>
      </c>
      <c r="D40" s="433">
        <v>40725</v>
      </c>
      <c r="E40" s="395" t="s">
        <v>250</v>
      </c>
      <c r="F40" s="405"/>
      <c r="G40" s="405"/>
      <c r="H40" s="405"/>
      <c r="I40" s="405"/>
      <c r="J40" s="405" t="s">
        <v>218</v>
      </c>
      <c r="K40" s="405"/>
      <c r="L40" s="405" t="s">
        <v>212</v>
      </c>
      <c r="M40" s="405"/>
      <c r="N40" s="406"/>
    </row>
    <row r="41" spans="1:14">
      <c r="A41" s="426"/>
      <c r="B41" s="427" t="s">
        <v>253</v>
      </c>
      <c r="C41" s="670"/>
      <c r="D41" s="671"/>
      <c r="E41" s="636"/>
      <c r="F41" s="637"/>
      <c r="G41" s="637"/>
      <c r="H41" s="637"/>
      <c r="I41" s="637"/>
      <c r="J41" s="637"/>
      <c r="K41" s="637"/>
      <c r="L41" s="637"/>
      <c r="M41" s="637"/>
      <c r="N41" s="638"/>
    </row>
    <row r="42" spans="1:14">
      <c r="A42" s="417">
        <v>1</v>
      </c>
      <c r="B42" s="418" t="s">
        <v>312</v>
      </c>
      <c r="C42" s="419">
        <v>40678</v>
      </c>
      <c r="D42" s="420">
        <v>40757</v>
      </c>
      <c r="E42" s="383" t="s">
        <v>218</v>
      </c>
      <c r="F42" s="405"/>
      <c r="G42" s="405" t="s">
        <v>101</v>
      </c>
      <c r="H42" s="405"/>
      <c r="I42" s="405"/>
      <c r="J42" s="405"/>
      <c r="K42" s="405"/>
      <c r="L42" s="405"/>
      <c r="M42" s="405"/>
      <c r="N42" s="406" t="s">
        <v>212</v>
      </c>
    </row>
    <row r="43" spans="1:14">
      <c r="A43" s="417">
        <v>2</v>
      </c>
      <c r="B43" s="418" t="s">
        <v>313</v>
      </c>
      <c r="C43" s="419">
        <v>40758</v>
      </c>
      <c r="D43" s="420">
        <v>40760</v>
      </c>
      <c r="E43" s="383" t="s">
        <v>218</v>
      </c>
      <c r="F43" s="405"/>
      <c r="G43" s="405"/>
      <c r="H43" s="405"/>
      <c r="I43" s="405"/>
      <c r="J43" s="405" t="s">
        <v>212</v>
      </c>
      <c r="K43" s="405"/>
      <c r="L43" s="405"/>
      <c r="M43" s="405"/>
      <c r="N43" s="406" t="s">
        <v>212</v>
      </c>
    </row>
    <row r="44" spans="1:14">
      <c r="A44" s="417">
        <v>3</v>
      </c>
      <c r="B44" s="418" t="s">
        <v>314</v>
      </c>
      <c r="C44" s="419">
        <v>40785</v>
      </c>
      <c r="D44" s="404"/>
      <c r="E44" s="383" t="s">
        <v>218</v>
      </c>
      <c r="F44" s="405"/>
      <c r="G44" s="405"/>
      <c r="H44" s="405"/>
      <c r="I44" s="405"/>
      <c r="J44" s="405"/>
      <c r="K44" s="405"/>
      <c r="L44" s="405"/>
      <c r="M44" s="405"/>
      <c r="N44" s="406" t="s">
        <v>212</v>
      </c>
    </row>
    <row r="45" spans="1:14">
      <c r="A45" s="426"/>
      <c r="B45" s="427" t="s">
        <v>256</v>
      </c>
      <c r="C45" s="663"/>
      <c r="D45" s="664"/>
      <c r="E45" s="665"/>
      <c r="F45" s="666"/>
      <c r="G45" s="666"/>
      <c r="H45" s="666"/>
      <c r="I45" s="666"/>
      <c r="J45" s="666"/>
      <c r="K45" s="666"/>
      <c r="L45" s="666"/>
      <c r="M45" s="666"/>
      <c r="N45" s="667"/>
    </row>
    <row r="46" spans="1:14">
      <c r="A46" s="409">
        <v>1</v>
      </c>
      <c r="B46" s="418" t="s">
        <v>257</v>
      </c>
      <c r="C46" s="403">
        <v>40663</v>
      </c>
      <c r="D46" s="431">
        <v>40736</v>
      </c>
      <c r="E46" s="383" t="s">
        <v>213</v>
      </c>
      <c r="F46" s="384" t="s">
        <v>217</v>
      </c>
      <c r="G46" s="384"/>
      <c r="H46" s="384"/>
      <c r="I46" s="384"/>
      <c r="J46" s="384"/>
      <c r="K46" s="384"/>
      <c r="L46" s="384" t="s">
        <v>212</v>
      </c>
      <c r="M46" s="384"/>
      <c r="N46" s="385"/>
    </row>
    <row r="47" spans="1:14">
      <c r="A47" s="409">
        <v>2</v>
      </c>
      <c r="B47" s="418" t="s">
        <v>258</v>
      </c>
      <c r="C47" s="403">
        <v>40737</v>
      </c>
      <c r="D47" s="431">
        <v>40739</v>
      </c>
      <c r="E47" s="383"/>
      <c r="F47" s="384"/>
      <c r="G47" s="384"/>
      <c r="H47" s="384"/>
      <c r="I47" s="384"/>
      <c r="J47" s="384"/>
      <c r="K47" s="384"/>
      <c r="L47" s="384" t="s">
        <v>212</v>
      </c>
      <c r="M47" s="384"/>
      <c r="N47" s="385"/>
    </row>
    <row r="48" spans="1:14">
      <c r="A48" s="417">
        <v>3</v>
      </c>
      <c r="B48" s="422" t="s">
        <v>259</v>
      </c>
      <c r="C48" s="419">
        <v>40739</v>
      </c>
      <c r="D48" s="404"/>
      <c r="E48" s="383" t="s">
        <v>218</v>
      </c>
      <c r="F48" s="384"/>
      <c r="G48" s="384"/>
      <c r="H48" s="384"/>
      <c r="I48" s="384"/>
      <c r="J48" s="384"/>
      <c r="K48" s="384"/>
      <c r="L48" s="384" t="s">
        <v>212</v>
      </c>
      <c r="M48" s="384"/>
      <c r="N48" s="385"/>
    </row>
    <row r="49" spans="1:14">
      <c r="A49" s="426"/>
      <c r="B49" s="427" t="s">
        <v>260</v>
      </c>
      <c r="C49" s="663"/>
      <c r="D49" s="664"/>
      <c r="E49" s="665"/>
      <c r="F49" s="666"/>
      <c r="G49" s="666"/>
      <c r="H49" s="666"/>
      <c r="I49" s="666"/>
      <c r="J49" s="666"/>
      <c r="K49" s="666"/>
      <c r="L49" s="666"/>
      <c r="M49" s="666"/>
      <c r="N49" s="667"/>
    </row>
    <row r="50" spans="1:14">
      <c r="A50" s="417"/>
      <c r="B50" s="418" t="s">
        <v>261</v>
      </c>
      <c r="C50" s="419">
        <v>40663</v>
      </c>
      <c r="D50" s="420">
        <v>40754</v>
      </c>
      <c r="E50" s="383" t="s">
        <v>250</v>
      </c>
      <c r="F50" s="384"/>
      <c r="G50" s="384"/>
      <c r="H50" s="384"/>
      <c r="I50" s="384"/>
      <c r="J50" s="384"/>
      <c r="K50" s="384"/>
      <c r="L50" s="384" t="s">
        <v>212</v>
      </c>
      <c r="M50" s="384"/>
      <c r="N50" s="385"/>
    </row>
    <row r="51" spans="1:14">
      <c r="A51" s="417"/>
      <c r="B51" s="418" t="s">
        <v>262</v>
      </c>
      <c r="C51" s="419">
        <v>40755</v>
      </c>
      <c r="D51" s="420">
        <v>40758</v>
      </c>
      <c r="E51" s="383"/>
      <c r="F51" s="384"/>
      <c r="G51" s="384"/>
      <c r="H51" s="384"/>
      <c r="I51" s="384"/>
      <c r="J51" s="384"/>
      <c r="K51" s="384"/>
      <c r="L51" s="384" t="s">
        <v>212</v>
      </c>
      <c r="M51" s="384"/>
      <c r="N51" s="385"/>
    </row>
    <row r="52" spans="1:14">
      <c r="A52" s="417"/>
      <c r="B52" s="434" t="s">
        <v>263</v>
      </c>
      <c r="C52" s="419">
        <v>40758</v>
      </c>
      <c r="D52" s="404"/>
      <c r="E52" s="383" t="s">
        <v>218</v>
      </c>
      <c r="F52" s="384"/>
      <c r="G52" s="384"/>
      <c r="H52" s="384"/>
      <c r="I52" s="384"/>
      <c r="J52" s="384"/>
      <c r="K52" s="384"/>
      <c r="L52" s="384" t="s">
        <v>212</v>
      </c>
      <c r="M52" s="384"/>
      <c r="N52" s="385"/>
    </row>
    <row r="53" spans="1:14">
      <c r="A53" s="426"/>
      <c r="B53" s="427" t="s">
        <v>264</v>
      </c>
      <c r="C53" s="663"/>
      <c r="D53" s="664"/>
      <c r="E53" s="665"/>
      <c r="F53" s="666"/>
      <c r="G53" s="666"/>
      <c r="H53" s="666"/>
      <c r="I53" s="666"/>
      <c r="J53" s="666"/>
      <c r="K53" s="666"/>
      <c r="L53" s="666"/>
      <c r="M53" s="666"/>
      <c r="N53" s="667"/>
    </row>
    <row r="54" spans="1:14">
      <c r="A54" s="417">
        <v>1</v>
      </c>
      <c r="B54" s="418" t="s">
        <v>265</v>
      </c>
      <c r="C54" s="419">
        <v>40693</v>
      </c>
      <c r="D54" s="420">
        <v>40693</v>
      </c>
      <c r="E54" s="383" t="s">
        <v>250</v>
      </c>
      <c r="F54" s="384"/>
      <c r="G54" s="384"/>
      <c r="H54" s="384"/>
      <c r="I54" s="384"/>
      <c r="J54" s="384"/>
      <c r="K54" s="384"/>
      <c r="L54" s="384" t="s">
        <v>212</v>
      </c>
      <c r="M54" s="384"/>
      <c r="N54" s="385" t="s">
        <v>218</v>
      </c>
    </row>
    <row r="55" spans="1:14">
      <c r="A55" s="417">
        <v>2</v>
      </c>
      <c r="B55" s="418" t="s">
        <v>266</v>
      </c>
      <c r="C55" s="419">
        <v>40693</v>
      </c>
      <c r="D55" s="576" t="s">
        <v>315</v>
      </c>
      <c r="E55" s="383"/>
      <c r="F55" s="384"/>
      <c r="G55" s="384"/>
      <c r="H55" s="384"/>
      <c r="I55" s="384"/>
      <c r="J55" s="384"/>
      <c r="K55" s="384"/>
      <c r="L55" s="384"/>
      <c r="M55" s="384"/>
      <c r="N55" s="385" t="s">
        <v>212</v>
      </c>
    </row>
    <row r="56" spans="1:14">
      <c r="A56" s="417">
        <v>3</v>
      </c>
      <c r="B56" s="418" t="s">
        <v>254</v>
      </c>
      <c r="C56" s="419">
        <v>40758</v>
      </c>
      <c r="D56" s="420">
        <v>40760</v>
      </c>
      <c r="E56" s="383"/>
      <c r="F56" s="384"/>
      <c r="G56" s="384"/>
      <c r="H56" s="384"/>
      <c r="I56" s="384"/>
      <c r="J56" s="384" t="s">
        <v>212</v>
      </c>
      <c r="K56" s="384"/>
      <c r="L56" s="384"/>
      <c r="M56" s="384"/>
      <c r="N56" s="385" t="s">
        <v>212</v>
      </c>
    </row>
    <row r="57" spans="1:14" ht="15.75" thickBot="1">
      <c r="A57" s="436">
        <v>4</v>
      </c>
      <c r="B57" s="437" t="s">
        <v>255</v>
      </c>
      <c r="C57" s="575">
        <v>40772</v>
      </c>
      <c r="D57" s="476"/>
      <c r="E57" s="438" t="s">
        <v>218</v>
      </c>
      <c r="F57" s="279"/>
      <c r="G57" s="279"/>
      <c r="H57" s="279"/>
      <c r="I57" s="279"/>
      <c r="J57" s="279"/>
      <c r="K57" s="279"/>
      <c r="L57" s="279"/>
      <c r="M57" s="279"/>
      <c r="N57" s="439"/>
    </row>
    <row r="58" spans="1:14">
      <c r="A58" s="649"/>
      <c r="B58" s="650"/>
      <c r="C58" s="650"/>
      <c r="D58" s="440" t="s">
        <v>267</v>
      </c>
      <c r="E58" s="653" t="s">
        <v>268</v>
      </c>
      <c r="F58" s="653"/>
      <c r="G58" s="653"/>
      <c r="H58" s="653"/>
      <c r="I58" s="653"/>
      <c r="J58" s="653"/>
      <c r="K58" s="653"/>
      <c r="L58" s="653"/>
      <c r="M58" s="653"/>
      <c r="N58" s="654"/>
    </row>
    <row r="59" spans="1:14" ht="15.75" thickBot="1">
      <c r="A59" s="651"/>
      <c r="B59" s="652"/>
      <c r="C59" s="652"/>
      <c r="D59" s="655" t="s">
        <v>269</v>
      </c>
      <c r="E59" s="656"/>
      <c r="F59" s="656"/>
      <c r="G59" s="656"/>
      <c r="H59" s="656"/>
      <c r="I59" s="656"/>
      <c r="J59" s="656"/>
      <c r="K59" s="656"/>
      <c r="L59" s="656"/>
      <c r="M59" s="656"/>
      <c r="N59" s="657"/>
    </row>
    <row r="60" spans="1:14" ht="7.5" customHeight="1" thickBot="1">
      <c r="A60" s="658"/>
      <c r="B60" s="659"/>
      <c r="C60" s="659"/>
      <c r="D60" s="659"/>
      <c r="E60" s="659"/>
      <c r="F60" s="659"/>
      <c r="G60" s="659"/>
      <c r="H60" s="659"/>
      <c r="I60" s="659"/>
      <c r="J60" s="659"/>
      <c r="K60" s="659"/>
      <c r="L60" s="659"/>
      <c r="M60" s="659"/>
      <c r="N60" s="660"/>
    </row>
  </sheetData>
  <mergeCells count="60">
    <mergeCell ref="R15:T15"/>
    <mergeCell ref="A13:N13"/>
    <mergeCell ref="P14:P15"/>
    <mergeCell ref="X2:X5"/>
    <mergeCell ref="Y2:Y5"/>
    <mergeCell ref="Q2:Q5"/>
    <mergeCell ref="E14:N14"/>
    <mergeCell ref="C15:D15"/>
    <mergeCell ref="E15:N15"/>
    <mergeCell ref="A3:B3"/>
    <mergeCell ref="K2:K5"/>
    <mergeCell ref="L2:L5"/>
    <mergeCell ref="Z2:Z5"/>
    <mergeCell ref="AA2:AA5"/>
    <mergeCell ref="R14:T14"/>
    <mergeCell ref="R2:R5"/>
    <mergeCell ref="S2:S5"/>
    <mergeCell ref="T2:T5"/>
    <mergeCell ref="U2:U5"/>
    <mergeCell ref="V2:V5"/>
    <mergeCell ref="W2:W5"/>
    <mergeCell ref="A58:C59"/>
    <mergeCell ref="E58:N58"/>
    <mergeCell ref="D59:N59"/>
    <mergeCell ref="A60:N60"/>
    <mergeCell ref="P2:P5"/>
    <mergeCell ref="C45:D45"/>
    <mergeCell ref="E45:N45"/>
    <mergeCell ref="C49:D49"/>
    <mergeCell ref="E49:N49"/>
    <mergeCell ref="C53:D53"/>
    <mergeCell ref="E53:N53"/>
    <mergeCell ref="C36:D36"/>
    <mergeCell ref="E36:N36"/>
    <mergeCell ref="C37:D37"/>
    <mergeCell ref="E37:N37"/>
    <mergeCell ref="C41:D41"/>
    <mergeCell ref="E41:N41"/>
    <mergeCell ref="C26:D26"/>
    <mergeCell ref="E26:N26"/>
    <mergeCell ref="C28:D28"/>
    <mergeCell ref="E28:N28"/>
    <mergeCell ref="C32:D32"/>
    <mergeCell ref="E32:N32"/>
    <mergeCell ref="C18:D18"/>
    <mergeCell ref="E18:N18"/>
    <mergeCell ref="C25:D25"/>
    <mergeCell ref="E25:N25"/>
    <mergeCell ref="M2:M5"/>
    <mergeCell ref="N2:N5"/>
    <mergeCell ref="C3:D3"/>
    <mergeCell ref="A6:D6"/>
    <mergeCell ref="A1:D2"/>
    <mergeCell ref="E1:N1"/>
    <mergeCell ref="E2:E5"/>
    <mergeCell ref="F2:F5"/>
    <mergeCell ref="G2:G5"/>
    <mergeCell ref="H2:H5"/>
    <mergeCell ref="I2:I5"/>
    <mergeCell ref="J2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5" sqref="C15"/>
    </sheetView>
  </sheetViews>
  <sheetFormatPr defaultRowHeight="15"/>
  <cols>
    <col min="1" max="1" width="30.28515625" bestFit="1" customWidth="1"/>
    <col min="2" max="2" width="8.85546875" customWidth="1"/>
    <col min="3" max="3" width="9.85546875" customWidth="1"/>
    <col min="4" max="4" width="12" bestFit="1" customWidth="1"/>
    <col min="5" max="5" width="10" customWidth="1"/>
    <col min="6" max="6" width="12.5703125" customWidth="1"/>
    <col min="7" max="7" width="11" bestFit="1" customWidth="1"/>
    <col min="8" max="8" width="12" bestFit="1" customWidth="1"/>
  </cols>
  <sheetData>
    <row r="1" spans="1:8" ht="15.75" thickBot="1"/>
    <row r="2" spans="1:8" ht="39" thickBot="1">
      <c r="A2" s="266" t="s">
        <v>132</v>
      </c>
      <c r="B2" s="268" t="s">
        <v>125</v>
      </c>
      <c r="C2" s="256" t="s">
        <v>134</v>
      </c>
      <c r="D2" s="261" t="s">
        <v>133</v>
      </c>
      <c r="E2" s="269" t="s">
        <v>126</v>
      </c>
      <c r="F2" s="267" t="s">
        <v>128</v>
      </c>
    </row>
    <row r="3" spans="1:8">
      <c r="A3" s="257" t="s">
        <v>120</v>
      </c>
      <c r="B3" s="244">
        <v>56000</v>
      </c>
      <c r="C3" s="270">
        <v>1500</v>
      </c>
      <c r="D3" s="245">
        <f>B3*C3</f>
        <v>84000000</v>
      </c>
      <c r="E3" s="252">
        <v>0.56999999999999995</v>
      </c>
      <c r="F3" s="249">
        <f>D3*E3</f>
        <v>47879999.999999993</v>
      </c>
      <c r="H3" s="6"/>
    </row>
    <row r="4" spans="1:8">
      <c r="A4" s="258" t="s">
        <v>121</v>
      </c>
      <c r="B4" s="246">
        <v>48883</v>
      </c>
      <c r="C4" s="271">
        <v>1500</v>
      </c>
      <c r="D4" s="243">
        <f t="shared" ref="D4:D7" si="0">B4*C4</f>
        <v>73324500</v>
      </c>
      <c r="E4" s="253">
        <v>0.56999999999999995</v>
      </c>
      <c r="F4" s="250">
        <f t="shared" ref="F4:F7" si="1">D4*E4</f>
        <v>41794965</v>
      </c>
    </row>
    <row r="5" spans="1:8">
      <c r="A5" s="258" t="s">
        <v>122</v>
      </c>
      <c r="B5" s="246">
        <v>28421</v>
      </c>
      <c r="C5" s="271">
        <v>3000</v>
      </c>
      <c r="D5" s="243">
        <f t="shared" si="0"/>
        <v>85263000</v>
      </c>
      <c r="E5" s="253">
        <v>0.56999999999999995</v>
      </c>
      <c r="F5" s="250">
        <f t="shared" si="1"/>
        <v>48599909.999999993</v>
      </c>
    </row>
    <row r="6" spans="1:8">
      <c r="A6" s="258" t="s">
        <v>123</v>
      </c>
      <c r="B6" s="246">
        <v>114</v>
      </c>
      <c r="C6" s="271">
        <v>2000</v>
      </c>
      <c r="D6" s="243">
        <f t="shared" si="0"/>
        <v>228000</v>
      </c>
      <c r="E6" s="253">
        <v>0.56999999999999995</v>
      </c>
      <c r="F6" s="250">
        <f t="shared" si="1"/>
        <v>129959.99999999999</v>
      </c>
    </row>
    <row r="7" spans="1:8" ht="15.75" thickBot="1">
      <c r="A7" s="259" t="s">
        <v>124</v>
      </c>
      <c r="B7" s="247">
        <v>41659</v>
      </c>
      <c r="C7" s="272">
        <v>5000</v>
      </c>
      <c r="D7" s="248">
        <f t="shared" si="0"/>
        <v>208295000</v>
      </c>
      <c r="E7" s="254">
        <v>0.28000000000000003</v>
      </c>
      <c r="F7" s="251">
        <f t="shared" si="1"/>
        <v>58322600.000000007</v>
      </c>
    </row>
    <row r="8" spans="1:8" ht="15.75" thickBot="1">
      <c r="A8" s="265"/>
      <c r="B8" s="262"/>
      <c r="C8" s="264"/>
      <c r="D8" s="260">
        <f>SUM(D3:D7)</f>
        <v>451110500</v>
      </c>
      <c r="E8" s="263"/>
      <c r="F8" s="264"/>
    </row>
    <row r="9" spans="1:8" ht="15.75" thickBot="1">
      <c r="A9" s="274" t="s">
        <v>129</v>
      </c>
      <c r="B9" s="275"/>
      <c r="C9" s="275"/>
      <c r="D9" s="275"/>
      <c r="E9" s="275"/>
      <c r="F9" s="276">
        <f>SUM(F3:F7)</f>
        <v>196727435</v>
      </c>
      <c r="G9" s="6"/>
    </row>
    <row r="10" spans="1:8">
      <c r="A10" s="282" t="s">
        <v>131</v>
      </c>
      <c r="B10" s="281">
        <v>1.2500000000000001E-2</v>
      </c>
      <c r="C10" s="277" t="s">
        <v>130</v>
      </c>
      <c r="D10" s="278">
        <f>D8</f>
        <v>451110500</v>
      </c>
      <c r="E10" s="284" t="s">
        <v>127</v>
      </c>
      <c r="F10" s="286">
        <f>(B10*D8)-(B10*D11)</f>
        <v>5378506.25</v>
      </c>
      <c r="H10" s="6">
        <f>F9+F10+F11</f>
        <v>207938341.25</v>
      </c>
    </row>
    <row r="11" spans="1:8" ht="15.75" thickBot="1">
      <c r="A11" s="283" t="s">
        <v>135</v>
      </c>
      <c r="B11" s="288">
        <v>4166</v>
      </c>
      <c r="C11" s="279">
        <v>5000</v>
      </c>
      <c r="D11" s="280">
        <f>B11*C11</f>
        <v>20830000</v>
      </c>
      <c r="E11" s="285" t="s">
        <v>127</v>
      </c>
      <c r="F11" s="287">
        <f>D11*E7</f>
        <v>5832400.0000000009</v>
      </c>
    </row>
    <row r="12" spans="1:8" ht="15.75" thickBot="1"/>
    <row r="13" spans="1:8" ht="15.75" thickBot="1">
      <c r="A13" s="290" t="s">
        <v>169</v>
      </c>
      <c r="B13" s="86">
        <v>2011</v>
      </c>
      <c r="C13" s="88">
        <v>2012</v>
      </c>
      <c r="D13" s="88">
        <v>2013</v>
      </c>
      <c r="E13" s="88">
        <v>2014</v>
      </c>
      <c r="F13" s="89">
        <v>2015</v>
      </c>
    </row>
    <row r="14" spans="1:8" ht="15.75" thickBot="1">
      <c r="A14" s="289" t="s">
        <v>136</v>
      </c>
      <c r="B14" s="345">
        <f>(F9/4)/1000</f>
        <v>49181.858749999999</v>
      </c>
      <c r="C14" s="345">
        <f>B14+(B10*(D10/4))/1000</f>
        <v>50591.579062500001</v>
      </c>
      <c r="D14" s="345">
        <f>C14+($B$10*($D$10/4))/1000</f>
        <v>52001.299375000002</v>
      </c>
      <c r="E14" s="345">
        <f>D14+($B$10*($D$10/4))/1000</f>
        <v>53411.019687500004</v>
      </c>
      <c r="F14" s="346">
        <f>(F10+F11)/1000</f>
        <v>11210.90625</v>
      </c>
    </row>
    <row r="16" spans="1:8">
      <c r="A16" s="347" t="s">
        <v>171</v>
      </c>
    </row>
    <row r="17" spans="1:5">
      <c r="A17" s="347" t="s">
        <v>172</v>
      </c>
      <c r="B17" s="6"/>
      <c r="C17" s="242"/>
      <c r="E17" s="223"/>
    </row>
    <row r="18" spans="1:5">
      <c r="A18" s="347"/>
    </row>
    <row r="19" spans="1:5">
      <c r="A19" s="347" t="s">
        <v>173</v>
      </c>
      <c r="B19" s="6"/>
    </row>
    <row r="20" spans="1:5">
      <c r="A20" s="348" t="s">
        <v>174</v>
      </c>
      <c r="B20" s="2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10" sqref="C10"/>
    </sheetView>
  </sheetViews>
  <sheetFormatPr defaultRowHeight="15"/>
  <cols>
    <col min="1" max="1" width="27" bestFit="1" customWidth="1"/>
  </cols>
  <sheetData>
    <row r="1" spans="1:9" ht="15.75" thickBot="1">
      <c r="A1" s="583" t="s">
        <v>20</v>
      </c>
      <c r="B1" s="584"/>
      <c r="C1" s="584"/>
      <c r="D1" s="584"/>
      <c r="E1" s="584"/>
      <c r="F1" s="584"/>
      <c r="G1" s="584"/>
      <c r="H1" s="584"/>
      <c r="I1" s="585"/>
    </row>
    <row r="2" spans="1:9" ht="15.75" thickBot="1">
      <c r="A2" s="86" t="s">
        <v>21</v>
      </c>
      <c r="B2" s="126">
        <v>2003</v>
      </c>
      <c r="C2" s="88">
        <v>2004</v>
      </c>
      <c r="D2" s="126">
        <v>2005</v>
      </c>
      <c r="E2" s="88">
        <v>2006</v>
      </c>
      <c r="F2" s="126">
        <v>2007</v>
      </c>
      <c r="G2" s="88">
        <v>2008</v>
      </c>
      <c r="H2" s="126">
        <v>2009</v>
      </c>
      <c r="I2" s="88">
        <v>2010</v>
      </c>
    </row>
    <row r="3" spans="1:9">
      <c r="A3" s="55" t="s">
        <v>4</v>
      </c>
      <c r="B3" s="94">
        <v>0.26</v>
      </c>
      <c r="C3" s="53">
        <v>0.12</v>
      </c>
      <c r="D3" s="93">
        <v>1.6</v>
      </c>
      <c r="E3" s="53">
        <v>0.3</v>
      </c>
      <c r="F3" s="93">
        <v>0.1</v>
      </c>
      <c r="G3" s="53">
        <v>0.3</v>
      </c>
      <c r="H3" s="93">
        <v>0</v>
      </c>
      <c r="I3" s="53">
        <v>0</v>
      </c>
    </row>
    <row r="4" spans="1:9">
      <c r="A4" s="16" t="s">
        <v>5</v>
      </c>
      <c r="B4" s="17"/>
      <c r="C4" s="9"/>
      <c r="D4" s="1"/>
      <c r="E4" s="9"/>
      <c r="F4" s="1"/>
      <c r="G4" s="9"/>
      <c r="H4" s="1"/>
      <c r="I4" s="9"/>
    </row>
    <row r="5" spans="1:9">
      <c r="A5" s="18" t="s">
        <v>6</v>
      </c>
      <c r="B5" s="20">
        <v>13.43</v>
      </c>
      <c r="C5" s="19">
        <v>13.83</v>
      </c>
      <c r="D5" s="11">
        <f>4.7+3.4+2.8</f>
        <v>10.899999999999999</v>
      </c>
      <c r="E5" s="19">
        <f>4.4+3.6+2.8</f>
        <v>10.8</v>
      </c>
      <c r="F5" s="11">
        <f>4.5+3.9+3.6</f>
        <v>12</v>
      </c>
      <c r="G5" s="19">
        <f>4.9+4.4+3.7</f>
        <v>13</v>
      </c>
      <c r="H5" s="11">
        <f>3.9+3.8+4</f>
        <v>11.7</v>
      </c>
      <c r="I5" s="19">
        <f>4+2.8+4.4</f>
        <v>11.2</v>
      </c>
    </row>
    <row r="6" spans="1:9">
      <c r="A6" s="21" t="s">
        <v>7</v>
      </c>
      <c r="B6" s="20">
        <v>0.91</v>
      </c>
      <c r="C6" s="19">
        <v>0.73</v>
      </c>
      <c r="D6" s="11">
        <v>0.6</v>
      </c>
      <c r="E6" s="19">
        <v>1.1000000000000001</v>
      </c>
      <c r="F6" s="11">
        <v>1.1000000000000001</v>
      </c>
      <c r="G6" s="19">
        <v>1.4</v>
      </c>
      <c r="H6" s="11">
        <v>1.6</v>
      </c>
      <c r="I6" s="19">
        <v>1.5</v>
      </c>
    </row>
    <row r="7" spans="1:9">
      <c r="A7" s="18" t="s">
        <v>8</v>
      </c>
      <c r="B7" s="20">
        <v>0</v>
      </c>
      <c r="C7" s="19">
        <v>0</v>
      </c>
      <c r="D7" s="11">
        <v>1.1000000000000001</v>
      </c>
      <c r="E7" s="19">
        <v>1.5</v>
      </c>
      <c r="F7" s="11">
        <v>1.6</v>
      </c>
      <c r="G7" s="19">
        <v>1.4</v>
      </c>
      <c r="H7" s="11">
        <v>1.7</v>
      </c>
      <c r="I7" s="19">
        <v>1.4</v>
      </c>
    </row>
    <row r="8" spans="1:9">
      <c r="A8" s="18" t="s">
        <v>9</v>
      </c>
      <c r="B8" s="20">
        <v>9.08</v>
      </c>
      <c r="C8" s="19">
        <v>6.82</v>
      </c>
      <c r="D8" s="11">
        <v>6.5</v>
      </c>
      <c r="E8" s="19">
        <v>6.7</v>
      </c>
      <c r="F8" s="11">
        <v>6.3</v>
      </c>
      <c r="G8" s="19">
        <v>11.8</v>
      </c>
      <c r="H8" s="11">
        <v>4.5999999999999996</v>
      </c>
      <c r="I8" s="19">
        <v>2.8</v>
      </c>
    </row>
    <row r="9" spans="1:9">
      <c r="A9" s="18" t="s">
        <v>10</v>
      </c>
      <c r="B9" s="52">
        <v>0</v>
      </c>
      <c r="C9" s="50">
        <v>0</v>
      </c>
      <c r="D9" s="51">
        <v>0</v>
      </c>
      <c r="E9" s="50">
        <v>0</v>
      </c>
      <c r="F9" s="51">
        <v>0</v>
      </c>
      <c r="G9" s="50">
        <v>0</v>
      </c>
      <c r="H9" s="11">
        <v>14.3</v>
      </c>
      <c r="I9" s="19">
        <v>18.600000000000001</v>
      </c>
    </row>
    <row r="10" spans="1:9">
      <c r="A10" s="18" t="s">
        <v>11</v>
      </c>
      <c r="B10" s="20">
        <v>2.27</v>
      </c>
      <c r="C10" s="19">
        <v>2.29</v>
      </c>
      <c r="D10" s="11">
        <v>1.6</v>
      </c>
      <c r="E10" s="19">
        <v>1.9</v>
      </c>
      <c r="F10" s="11">
        <v>1.8</v>
      </c>
      <c r="G10" s="19">
        <v>2.2000000000000002</v>
      </c>
      <c r="H10" s="11">
        <v>2.1</v>
      </c>
      <c r="I10" s="19">
        <v>1.8</v>
      </c>
    </row>
    <row r="11" spans="1:9" ht="45">
      <c r="A11" s="22" t="s">
        <v>24</v>
      </c>
      <c r="B11" s="24">
        <f>7.02+1.76</f>
        <v>8.7799999999999994</v>
      </c>
      <c r="C11" s="23">
        <f>1.28+7.13</f>
        <v>8.41</v>
      </c>
      <c r="D11" s="12">
        <f>6.8+0.9</f>
        <v>7.7</v>
      </c>
      <c r="E11" s="23">
        <f>5.6+0.7</f>
        <v>6.3</v>
      </c>
      <c r="F11" s="12">
        <f>5.3+0.8</f>
        <v>6.1</v>
      </c>
      <c r="G11" s="23">
        <f>5.7+0.7</f>
        <v>6.4</v>
      </c>
      <c r="H11" s="12">
        <f>2.1 +4.1+0.2</f>
        <v>6.3999999999999995</v>
      </c>
      <c r="I11" s="23">
        <f>3.6+ 2.4+0.2</f>
        <v>6.2</v>
      </c>
    </row>
    <row r="12" spans="1:9">
      <c r="A12" s="18" t="s">
        <v>12</v>
      </c>
      <c r="B12" s="26">
        <v>2.25</v>
      </c>
      <c r="C12" s="25">
        <v>4.63</v>
      </c>
      <c r="D12" s="10">
        <v>6.2</v>
      </c>
      <c r="E12" s="25">
        <v>7.7</v>
      </c>
      <c r="F12" s="10">
        <v>6.6</v>
      </c>
      <c r="G12" s="25">
        <v>8.6</v>
      </c>
      <c r="H12" s="10">
        <v>7</v>
      </c>
      <c r="I12" s="25">
        <v>8.1</v>
      </c>
    </row>
    <row r="13" spans="1:9">
      <c r="A13" s="18" t="s">
        <v>13</v>
      </c>
      <c r="B13" s="26">
        <v>7.55</v>
      </c>
      <c r="C13" s="25">
        <v>9.3000000000000007</v>
      </c>
      <c r="D13" s="10">
        <v>4.8</v>
      </c>
      <c r="E13" s="25">
        <v>6.1</v>
      </c>
      <c r="F13" s="10">
        <v>5.6</v>
      </c>
      <c r="G13" s="25">
        <v>6.1</v>
      </c>
      <c r="H13" s="10">
        <v>8.9</v>
      </c>
      <c r="I13" s="25">
        <v>9.4</v>
      </c>
    </row>
    <row r="14" spans="1:9">
      <c r="A14" s="18" t="s">
        <v>14</v>
      </c>
      <c r="B14" s="26">
        <v>7.46</v>
      </c>
      <c r="C14" s="25">
        <v>8.3000000000000007</v>
      </c>
      <c r="D14" s="10">
        <v>8.6999999999999993</v>
      </c>
      <c r="E14" s="25">
        <v>8.8000000000000007</v>
      </c>
      <c r="F14" s="10">
        <v>13.4</v>
      </c>
      <c r="G14" s="25">
        <v>14.6</v>
      </c>
      <c r="H14" s="10">
        <v>7.7</v>
      </c>
      <c r="I14" s="25">
        <v>7.3</v>
      </c>
    </row>
    <row r="15" spans="1:9">
      <c r="A15" s="16" t="s">
        <v>15</v>
      </c>
      <c r="B15" s="27">
        <f t="shared" ref="B15:G15" si="0">SUM(B5:B14)</f>
        <v>51.73</v>
      </c>
      <c r="C15" s="14">
        <f t="shared" si="0"/>
        <v>54.31</v>
      </c>
      <c r="D15" s="15">
        <f t="shared" si="0"/>
        <v>48.099999999999994</v>
      </c>
      <c r="E15" s="14">
        <f t="shared" si="0"/>
        <v>50.900000000000006</v>
      </c>
      <c r="F15" s="15">
        <f t="shared" si="0"/>
        <v>54.5</v>
      </c>
      <c r="G15" s="14">
        <f t="shared" si="0"/>
        <v>65.5</v>
      </c>
      <c r="H15" s="15">
        <f>SUM(H3:H14)</f>
        <v>66</v>
      </c>
      <c r="I15" s="14">
        <f>SUM(I3:I14)</f>
        <v>68.3</v>
      </c>
    </row>
    <row r="16" spans="1:9" ht="15.75" thickBot="1">
      <c r="A16" s="28" t="s">
        <v>16</v>
      </c>
      <c r="B16" s="30">
        <v>48.01</v>
      </c>
      <c r="C16" s="29">
        <v>45.57</v>
      </c>
      <c r="D16" s="13">
        <v>50.3</v>
      </c>
      <c r="E16" s="29">
        <v>48.8</v>
      </c>
      <c r="F16" s="13">
        <v>45.4</v>
      </c>
      <c r="G16" s="29">
        <v>34.200000000000003</v>
      </c>
      <c r="H16" s="13">
        <v>34</v>
      </c>
      <c r="I16" s="29">
        <v>31.7</v>
      </c>
    </row>
    <row r="17" spans="1:11" ht="15.75" thickBot="1">
      <c r="A17" s="79" t="s">
        <v>17</v>
      </c>
      <c r="B17" s="83">
        <f>B15+B16+B3</f>
        <v>100</v>
      </c>
      <c r="C17" s="84">
        <f>C15+C16+C3</f>
        <v>100</v>
      </c>
      <c r="D17" s="84">
        <f t="shared" ref="D17:I17" si="1">D15+D16+D3</f>
        <v>99.999999999999986</v>
      </c>
      <c r="E17" s="84">
        <f t="shared" si="1"/>
        <v>100</v>
      </c>
      <c r="F17" s="84">
        <f t="shared" si="1"/>
        <v>100</v>
      </c>
      <c r="G17" s="84">
        <f t="shared" si="1"/>
        <v>100</v>
      </c>
      <c r="H17" s="84">
        <f t="shared" si="1"/>
        <v>100</v>
      </c>
      <c r="I17" s="85">
        <f t="shared" si="1"/>
        <v>100</v>
      </c>
    </row>
    <row r="19" spans="1:11">
      <c r="A19" s="147"/>
      <c r="B19" s="19"/>
      <c r="C19" s="19"/>
      <c r="D19" s="19"/>
      <c r="E19" s="19"/>
      <c r="F19" s="19"/>
      <c r="G19" s="19"/>
      <c r="H19" s="19"/>
      <c r="I19" s="19"/>
      <c r="J19" s="147"/>
      <c r="K19" s="147"/>
    </row>
    <row r="20" spans="1:11">
      <c r="A20" s="147"/>
      <c r="B20" s="19"/>
      <c r="C20" s="19"/>
      <c r="D20" s="19"/>
      <c r="E20" s="19"/>
      <c r="F20" s="19"/>
      <c r="G20" s="19"/>
      <c r="H20" s="19"/>
      <c r="I20" s="19"/>
      <c r="J20" s="147"/>
      <c r="K20" s="147"/>
    </row>
    <row r="21" spans="1:11">
      <c r="A21" s="147"/>
      <c r="B21" s="19"/>
      <c r="C21" s="19"/>
      <c r="D21" s="19"/>
      <c r="E21" s="19"/>
      <c r="F21" s="19"/>
      <c r="G21" s="19"/>
      <c r="H21" s="19"/>
      <c r="I21" s="19"/>
      <c r="J21" s="147"/>
      <c r="K21" s="147"/>
    </row>
    <row r="22" spans="1:11">
      <c r="A22" s="147"/>
      <c r="B22" s="19"/>
      <c r="C22" s="19"/>
      <c r="D22" s="19"/>
      <c r="E22" s="19"/>
      <c r="F22" s="19"/>
      <c r="G22" s="19"/>
      <c r="H22" s="19"/>
      <c r="I22" s="19"/>
      <c r="J22" s="147"/>
      <c r="K22" s="147"/>
    </row>
    <row r="23" spans="1:11">
      <c r="A23" s="147"/>
      <c r="B23" s="19"/>
      <c r="C23" s="19"/>
      <c r="D23" s="50"/>
      <c r="E23" s="50"/>
      <c r="F23" s="50"/>
      <c r="G23" s="50"/>
      <c r="H23" s="50"/>
      <c r="I23" s="50"/>
      <c r="J23" s="147"/>
      <c r="K23" s="147"/>
    </row>
    <row r="24" spans="1:11">
      <c r="A24" s="147"/>
      <c r="B24" s="19"/>
      <c r="C24" s="19"/>
      <c r="D24" s="19"/>
      <c r="E24" s="19"/>
      <c r="F24" s="19"/>
      <c r="G24" s="19"/>
      <c r="H24" s="19"/>
      <c r="I24" s="19"/>
      <c r="J24" s="147"/>
      <c r="K24" s="147"/>
    </row>
    <row r="25" spans="1:11">
      <c r="A25" s="147"/>
      <c r="B25" s="23"/>
      <c r="C25" s="23"/>
      <c r="D25" s="23"/>
      <c r="E25" s="23"/>
      <c r="F25" s="23"/>
      <c r="G25" s="23"/>
      <c r="H25" s="23"/>
      <c r="I25" s="23"/>
      <c r="J25" s="147"/>
      <c r="K25" s="147"/>
    </row>
    <row r="26" spans="1:11">
      <c r="A26" s="147"/>
      <c r="B26" s="25"/>
      <c r="C26" s="25"/>
      <c r="D26" s="25"/>
      <c r="E26" s="25"/>
      <c r="F26" s="25"/>
      <c r="G26" s="25"/>
      <c r="H26" s="25"/>
      <c r="I26" s="25"/>
      <c r="J26" s="147"/>
      <c r="K26" s="147"/>
    </row>
    <row r="27" spans="1:11">
      <c r="A27" s="147"/>
      <c r="B27" s="25"/>
      <c r="C27" s="25"/>
      <c r="D27" s="25"/>
      <c r="E27" s="25"/>
      <c r="F27" s="25"/>
      <c r="G27" s="25"/>
      <c r="H27" s="25"/>
      <c r="I27" s="25"/>
      <c r="J27" s="147"/>
      <c r="K27" s="147"/>
    </row>
    <row r="28" spans="1:11">
      <c r="A28" s="147"/>
      <c r="B28" s="25"/>
      <c r="C28" s="25"/>
      <c r="D28" s="25"/>
      <c r="E28" s="25"/>
      <c r="F28" s="25"/>
      <c r="G28" s="25"/>
      <c r="H28" s="25"/>
      <c r="I28" s="25"/>
      <c r="J28" s="147"/>
      <c r="K28" s="147"/>
    </row>
    <row r="29" spans="1:11">
      <c r="A29" s="147"/>
      <c r="B29" s="25"/>
      <c r="C29" s="25"/>
      <c r="D29" s="25"/>
      <c r="E29" s="25"/>
      <c r="F29" s="25"/>
      <c r="G29" s="25"/>
      <c r="H29" s="25"/>
      <c r="I29" s="25"/>
      <c r="J29" s="147"/>
      <c r="K29" s="147"/>
    </row>
    <row r="30" spans="1:11">
      <c r="A30" s="147"/>
      <c r="B30" s="25"/>
      <c r="C30" s="25"/>
      <c r="D30" s="25"/>
      <c r="E30" s="25"/>
      <c r="F30" s="25"/>
      <c r="G30" s="25"/>
      <c r="H30" s="25"/>
      <c r="I30" s="25"/>
      <c r="J30" s="147"/>
      <c r="K30" s="147"/>
    </row>
    <row r="31" spans="1:11">
      <c r="A31" s="147"/>
      <c r="B31" s="148"/>
      <c r="C31" s="148"/>
      <c r="D31" s="148"/>
      <c r="E31" s="148"/>
      <c r="F31" s="148"/>
      <c r="G31" s="148"/>
      <c r="H31" s="148"/>
      <c r="I31" s="148"/>
      <c r="J31" s="2"/>
      <c r="K31" s="2"/>
    </row>
    <row r="32" spans="1:11">
      <c r="A32" s="147"/>
      <c r="B32" s="148"/>
      <c r="C32" s="148"/>
      <c r="D32" s="148"/>
      <c r="E32" s="148"/>
      <c r="F32" s="148"/>
      <c r="G32" s="148"/>
      <c r="H32" s="148"/>
      <c r="I32" s="148"/>
      <c r="J32" s="2"/>
      <c r="K32" s="2"/>
    </row>
    <row r="33" spans="1:1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</row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M24"/>
  <sheetViews>
    <sheetView topLeftCell="A8" workbookViewId="0">
      <selection activeCell="C23" sqref="C23"/>
    </sheetView>
  </sheetViews>
  <sheetFormatPr defaultRowHeight="15"/>
  <cols>
    <col min="1" max="1" width="43.5703125" bestFit="1" customWidth="1"/>
    <col min="2" max="2" width="13.7109375" bestFit="1" customWidth="1"/>
    <col min="6" max="6" width="20.28515625" bestFit="1" customWidth="1"/>
    <col min="7" max="8" width="34.7109375" customWidth="1"/>
    <col min="9" max="9" width="18.7109375" bestFit="1" customWidth="1"/>
    <col min="10" max="10" width="11.28515625" bestFit="1" customWidth="1"/>
    <col min="11" max="11" width="13.42578125" customWidth="1"/>
    <col min="13" max="13" width="10.140625" bestFit="1" customWidth="1"/>
  </cols>
  <sheetData>
    <row r="2" spans="1:13">
      <c r="F2">
        <f>(F3/F5)*100</f>
        <v>1.7872248158910184</v>
      </c>
      <c r="G2">
        <f>(G3/(G5+H5))*100</f>
        <v>2.2514637316511847</v>
      </c>
      <c r="I2">
        <v>2487</v>
      </c>
    </row>
    <row r="3" spans="1:13" ht="15.75" thickBot="1">
      <c r="F3">
        <v>78470</v>
      </c>
      <c r="G3">
        <v>37762</v>
      </c>
    </row>
    <row r="4" spans="1:13" ht="45.75" thickBot="1">
      <c r="A4" s="694" t="s">
        <v>49</v>
      </c>
      <c r="B4" s="695"/>
      <c r="F4" t="s">
        <v>61</v>
      </c>
      <c r="G4" s="146" t="s">
        <v>50</v>
      </c>
      <c r="H4" s="146" t="s">
        <v>51</v>
      </c>
      <c r="I4" t="s">
        <v>52</v>
      </c>
      <c r="J4" s="146" t="s">
        <v>53</v>
      </c>
      <c r="M4">
        <f>J5/K5</f>
        <v>0.15299942940333219</v>
      </c>
    </row>
    <row r="5" spans="1:13">
      <c r="A5" s="133" t="s">
        <v>44</v>
      </c>
      <c r="B5" s="142">
        <v>11110261</v>
      </c>
      <c r="F5" s="5">
        <v>4390606</v>
      </c>
      <c r="G5" s="5">
        <f>321617+1243934</f>
        <v>1565551</v>
      </c>
      <c r="H5" s="5">
        <v>111669</v>
      </c>
      <c r="I5">
        <f>293800+4450+13927</f>
        <v>312177</v>
      </c>
      <c r="J5" s="5">
        <f>7532466-I5-G5-F5-H5</f>
        <v>1152463</v>
      </c>
      <c r="K5" s="5">
        <f>SUM(F5:J5)</f>
        <v>7532466</v>
      </c>
      <c r="L5" s="5">
        <f>K5-J5</f>
        <v>6380003</v>
      </c>
      <c r="M5">
        <f>1-M4</f>
        <v>0.84700057059666778</v>
      </c>
    </row>
    <row r="6" spans="1:13">
      <c r="A6" s="135" t="s">
        <v>45</v>
      </c>
      <c r="B6" s="143">
        <v>714897</v>
      </c>
      <c r="L6">
        <f>L5/K5</f>
        <v>0.84700057059666778</v>
      </c>
    </row>
    <row r="7" spans="1:13" ht="15.75" thickBot="1">
      <c r="A7" s="137" t="s">
        <v>46</v>
      </c>
      <c r="B7" s="144">
        <v>1322788</v>
      </c>
    </row>
    <row r="8" spans="1:13" ht="15.75" thickBot="1">
      <c r="A8" s="139" t="s">
        <v>47</v>
      </c>
      <c r="B8" s="145">
        <f>SUM(B5:B7)</f>
        <v>13147946</v>
      </c>
    </row>
    <row r="11" spans="1:13" ht="15.75" thickBot="1"/>
    <row r="12" spans="1:13" ht="15.75" thickBot="1">
      <c r="A12" s="583" t="s">
        <v>48</v>
      </c>
      <c r="B12" s="585"/>
    </row>
    <row r="13" spans="1:13">
      <c r="A13" s="133" t="s">
        <v>38</v>
      </c>
      <c r="B13" s="134">
        <v>25200</v>
      </c>
    </row>
    <row r="14" spans="1:13">
      <c r="A14" s="135" t="s">
        <v>41</v>
      </c>
      <c r="B14" s="136">
        <f>2286968+176</f>
        <v>2287144</v>
      </c>
    </row>
    <row r="15" spans="1:13">
      <c r="A15" s="135" t="s">
        <v>42</v>
      </c>
      <c r="B15" s="136">
        <v>-60980</v>
      </c>
    </row>
    <row r="16" spans="1:13">
      <c r="A16" s="135" t="s">
        <v>39</v>
      </c>
      <c r="B16" s="136">
        <v>200000</v>
      </c>
    </row>
    <row r="17" spans="1:13" ht="15.75" thickBot="1">
      <c r="A17" s="137" t="s">
        <v>40</v>
      </c>
      <c r="B17" s="138">
        <v>491575</v>
      </c>
    </row>
    <row r="18" spans="1:13" ht="15.75" thickBot="1">
      <c r="A18" s="139" t="s">
        <v>43</v>
      </c>
      <c r="B18" s="140">
        <f>SUM(B13:B17)</f>
        <v>2942939</v>
      </c>
    </row>
    <row r="19" spans="1:13">
      <c r="C19" s="6"/>
    </row>
    <row r="23" spans="1:13" ht="90">
      <c r="F23" s="146" t="s">
        <v>59</v>
      </c>
      <c r="G23" s="146" t="s">
        <v>60</v>
      </c>
      <c r="H23" s="146" t="s">
        <v>58</v>
      </c>
      <c r="I23" s="146" t="s">
        <v>57</v>
      </c>
      <c r="J23" s="146" t="s">
        <v>56</v>
      </c>
      <c r="K23" s="146" t="s">
        <v>55</v>
      </c>
      <c r="L23" s="146" t="s">
        <v>54</v>
      </c>
      <c r="M23" s="146"/>
    </row>
    <row r="24" spans="1:13">
      <c r="F24" s="5">
        <v>11661654</v>
      </c>
      <c r="G24" s="5">
        <v>731968</v>
      </c>
      <c r="H24" s="5">
        <v>1900222</v>
      </c>
      <c r="I24">
        <v>606400</v>
      </c>
      <c r="J24" s="5">
        <v>2709343</v>
      </c>
      <c r="K24" s="5">
        <v>300000</v>
      </c>
      <c r="L24" s="5">
        <v>337617</v>
      </c>
      <c r="M24" s="5">
        <f>SUM(F24:L24)</f>
        <v>18247204</v>
      </c>
    </row>
  </sheetData>
  <mergeCells count="2">
    <mergeCell ref="A12:B12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WACC-ICGR</vt:lpstr>
      <vt:lpstr>Udlån</vt:lpstr>
      <vt:lpstr>NY Resultatopgørelse</vt:lpstr>
      <vt:lpstr>NY WACC-ICGR</vt:lpstr>
      <vt:lpstr>Bilforsikring</vt:lpstr>
      <vt:lpstr>Projektplan&amp;budget</vt:lpstr>
      <vt:lpstr>Indtjening Forsikring</vt:lpstr>
      <vt:lpstr>Grafter udlån</vt:lpstr>
      <vt:lpstr>Fundingstruktur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</dc:creator>
  <cp:lastModifiedBy>Jannie</cp:lastModifiedBy>
  <dcterms:created xsi:type="dcterms:W3CDTF">2011-03-17T10:57:34Z</dcterms:created>
  <dcterms:modified xsi:type="dcterms:W3CDTF">2011-04-25T12:38:39Z</dcterms:modified>
</cp:coreProperties>
</file>